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vis Logistics\Tariffs\"/>
    </mc:Choice>
  </mc:AlternateContent>
  <xr:revisionPtr revIDLastSave="0" documentId="13_ncr:1_{7D075713-2A1D-4456-BDB3-C0540270CF6E}" xr6:coauthVersionLast="47" xr6:coauthVersionMax="47" xr10:uidLastSave="{00000000-0000-0000-0000-000000000000}"/>
  <bookViews>
    <workbookView xWindow="-28920" yWindow="-120" windowWidth="29040" windowHeight="15840" tabRatio="924" activeTab="8" xr2:uid="{00000000-000D-0000-FFFF-FFFF00000000}"/>
  </bookViews>
  <sheets>
    <sheet name="Зоны РК (Экспресс)" sheetId="51" r:id="rId1"/>
    <sheet name="Зоны РК Экспресс ОЦ" sheetId="53" r:id="rId2"/>
    <sheet name="Экспресс" sheetId="47" r:id="rId3"/>
    <sheet name="Блиц" sheetId="52" r:id="rId4"/>
    <sheet name="Зоны РК Эконом (полные)" sheetId="50" r:id="rId5"/>
    <sheet name="Эконом" sheetId="22" r:id="rId6"/>
    <sheet name="Импорт из РФ Эконом" sheetId="41" r:id="rId7"/>
    <sheet name="Зоны РФ и СА" sheetId="57" r:id="rId8"/>
    <sheet name="Тарифы РФ и СА" sheetId="58" r:id="rId9"/>
    <sheet name="Тарифы РФ и СА (не-обл)" sheetId="59" r:id="rId10"/>
    <sheet name="Зоны WW" sheetId="64" r:id="rId11"/>
    <sheet name="Тарифы WW" sheetId="65" r:id="rId12"/>
    <sheet name="Тарифы WW (не-обл)" sheetId="63" r:id="rId13"/>
    <sheet name="Город" sheetId="60" r:id="rId14"/>
    <sheet name="Городские зоны" sheetId="61" r:id="rId15"/>
    <sheet name="Доп.услуги" sheetId="6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Курс" localSheetId="3">'[1]Тар. WW (черновик)'!#REF!</definedName>
    <definedName name="Курс" localSheetId="13">'[2]Тар. WW'!#REF!</definedName>
    <definedName name="Курс" localSheetId="14">'[2]Тар. WW'!#REF!</definedName>
    <definedName name="Курс" localSheetId="15">'[3]Тар. WW'!#REF!</definedName>
    <definedName name="Курс" localSheetId="0">'[4]Тар. WW'!#REF!</definedName>
    <definedName name="Курс" localSheetId="4">#REF!</definedName>
    <definedName name="Курс" localSheetId="1">'[1]Тар. WW (черновик)'!#REF!</definedName>
    <definedName name="Курс" localSheetId="6">'[5]Тар. WW'!#REF!</definedName>
    <definedName name="Курс" localSheetId="11">'Тарифы WW'!#REF!</definedName>
    <definedName name="Курс" localSheetId="12">'Тарифы WW (не-обл)'!#REF!</definedName>
    <definedName name="Курс" localSheetId="8">#REF!</definedName>
    <definedName name="Курс" localSheetId="2">#REF!</definedName>
    <definedName name="Курс">#REF!</definedName>
    <definedName name="Курс_Нацбанка" localSheetId="3">[6]Common!$K$1</definedName>
    <definedName name="Курс_Нацбанка" localSheetId="0">[7]Common!$K$1</definedName>
    <definedName name="Курс_Нацбанка" localSheetId="1">[8]Common!$K$1</definedName>
    <definedName name="Курс_Нацбанка" localSheetId="6">[6]Common!$K$1</definedName>
    <definedName name="Курс_Нацбанка" localSheetId="8">[9]Common!$K$1</definedName>
    <definedName name="Курс_Нацбанка" localSheetId="5">[6]Common!$K$1</definedName>
    <definedName name="Курс_Нацбанка">[8]Common!$K$1</definedName>
    <definedName name="_xlnm.Print_Area" localSheetId="3">Блиц!$A$1:$D$31</definedName>
    <definedName name="_xlnm.Print_Area" localSheetId="13">Город!$A$1:$C$38</definedName>
    <definedName name="_xlnm.Print_Area" localSheetId="14">'Городские зоны'!$A$1:$C$19</definedName>
    <definedName name="_xlnm.Print_Area" localSheetId="10">'Зоны WW'!$A$1:$H$60</definedName>
    <definedName name="_xlnm.Print_Area" localSheetId="0">'Зоны РК (Экспресс)'!$A$1:$N$73</definedName>
    <definedName name="_xlnm.Print_Area" localSheetId="7">'Зоны РФ и СА'!$A$1:$H$43</definedName>
    <definedName name="_xlnm.Print_Area" localSheetId="6">'Импорт из РФ Эконом'!$A$1:$D$21</definedName>
    <definedName name="_xlnm.Print_Area" localSheetId="11">'Тарифы WW'!$A$1:$I$28</definedName>
    <definedName name="_xlnm.Print_Area" localSheetId="12">'Тарифы WW (не-обл)'!$A$1:$F$28</definedName>
    <definedName name="_xlnm.Print_Area" localSheetId="8">'Тарифы РФ и СА'!$A$1:$G$28</definedName>
    <definedName name="_xlnm.Print_Area" localSheetId="9">'Тарифы РФ и СА (не-обл)'!$A$1:$G$30</definedName>
    <definedName name="_xlnm.Print_Area" localSheetId="5">Эконом!$A$1:$E$30</definedName>
    <definedName name="_xlnm.Print_Area" localSheetId="2">Экспресс!$A$1:$F$37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9" l="1"/>
  <c r="F22" i="59"/>
  <c r="E22" i="59"/>
  <c r="D22" i="59"/>
  <c r="C22" i="59"/>
  <c r="B22" i="59"/>
  <c r="G21" i="59"/>
  <c r="F21" i="59"/>
  <c r="E21" i="59"/>
  <c r="D21" i="59"/>
  <c r="C21" i="59"/>
  <c r="B21" i="59"/>
  <c r="G20" i="59"/>
  <c r="F20" i="59"/>
  <c r="E20" i="59"/>
  <c r="D20" i="59"/>
  <c r="C20" i="59"/>
  <c r="B20" i="59"/>
  <c r="G19" i="59"/>
  <c r="F19" i="59"/>
  <c r="E19" i="59"/>
  <c r="D19" i="59"/>
  <c r="C19" i="59"/>
  <c r="B19" i="59"/>
  <c r="G18" i="59"/>
  <c r="F18" i="59"/>
  <c r="E18" i="59"/>
  <c r="D18" i="59"/>
  <c r="C18" i="59"/>
  <c r="B18" i="59"/>
  <c r="G17" i="59"/>
  <c r="F17" i="59"/>
  <c r="E17" i="59"/>
  <c r="D17" i="59"/>
  <c r="C17" i="59"/>
  <c r="B17" i="59"/>
  <c r="G16" i="59"/>
  <c r="F16" i="59"/>
  <c r="E16" i="59"/>
  <c r="D16" i="59"/>
  <c r="C16" i="59"/>
  <c r="B16" i="59"/>
  <c r="G15" i="59"/>
  <c r="F15" i="59"/>
  <c r="E15" i="59"/>
  <c r="D15" i="59"/>
  <c r="C15" i="59"/>
  <c r="B15" i="59"/>
  <c r="G14" i="59"/>
  <c r="F14" i="59"/>
  <c r="E14" i="59"/>
  <c r="D14" i="59"/>
  <c r="C14" i="59"/>
  <c r="B14" i="59"/>
  <c r="G13" i="59"/>
  <c r="F13" i="59"/>
  <c r="E13" i="59"/>
  <c r="D13" i="59"/>
  <c r="C13" i="59"/>
  <c r="B13" i="59"/>
  <c r="G12" i="59"/>
  <c r="F12" i="59"/>
  <c r="E12" i="59"/>
  <c r="D12" i="59"/>
  <c r="C12" i="59"/>
  <c r="B12" i="59"/>
  <c r="G9" i="59"/>
  <c r="F9" i="59"/>
  <c r="E9" i="59"/>
  <c r="D9" i="59"/>
  <c r="C9" i="59"/>
  <c r="B9" i="59"/>
  <c r="G8" i="59"/>
  <c r="F8" i="59"/>
  <c r="E8" i="59"/>
  <c r="D8" i="59"/>
  <c r="C8" i="59"/>
  <c r="B8" i="59"/>
  <c r="G7" i="59"/>
  <c r="F7" i="59"/>
  <c r="E7" i="59"/>
  <c r="D7" i="59"/>
  <c r="C7" i="59"/>
  <c r="B7" i="59"/>
  <c r="G6" i="59"/>
  <c r="F6" i="59"/>
  <c r="E6" i="59"/>
  <c r="D6" i="59"/>
  <c r="C6" i="59"/>
  <c r="B6" i="59"/>
  <c r="D61" i="58"/>
  <c r="C61" i="58"/>
  <c r="B61" i="58"/>
  <c r="D60" i="58"/>
  <c r="C60" i="58"/>
  <c r="B60" i="58"/>
  <c r="D59" i="58"/>
  <c r="C59" i="58"/>
  <c r="B59" i="58"/>
  <c r="D58" i="58"/>
  <c r="C58" i="58"/>
  <c r="B58" i="58"/>
  <c r="D57" i="58"/>
  <c r="C57" i="58"/>
  <c r="B57" i="58"/>
  <c r="D56" i="58"/>
  <c r="C56" i="58"/>
  <c r="B56" i="58"/>
  <c r="D55" i="58"/>
  <c r="C55" i="58"/>
  <c r="B55" i="58"/>
  <c r="D54" i="58"/>
  <c r="C54" i="58"/>
  <c r="B54" i="58"/>
  <c r="D53" i="58"/>
  <c r="C53" i="58"/>
  <c r="B53" i="58"/>
  <c r="D52" i="58"/>
  <c r="C52" i="58"/>
  <c r="B52" i="58"/>
  <c r="D51" i="58"/>
  <c r="C51" i="58"/>
  <c r="B51" i="58"/>
  <c r="D48" i="58"/>
  <c r="C48" i="58"/>
  <c r="B48" i="58"/>
  <c r="D47" i="58"/>
  <c r="C47" i="58"/>
  <c r="B47" i="58"/>
  <c r="D46" i="58"/>
  <c r="C46" i="58"/>
  <c r="B46" i="58"/>
  <c r="D45" i="58"/>
  <c r="C45" i="58"/>
  <c r="B45" i="58"/>
  <c r="D42" i="58"/>
  <c r="C42" i="58"/>
  <c r="B42" i="58"/>
  <c r="D41" i="58"/>
  <c r="C41" i="58"/>
  <c r="B41" i="58"/>
  <c r="D40" i="58"/>
  <c r="C40" i="58"/>
  <c r="B40" i="58"/>
  <c r="D39" i="58"/>
  <c r="C39" i="58"/>
  <c r="B39" i="58"/>
  <c r="D38" i="58"/>
  <c r="C38" i="58"/>
  <c r="B38" i="58"/>
  <c r="D37" i="58"/>
  <c r="C37" i="58"/>
  <c r="B37" i="58"/>
  <c r="D36" i="58"/>
  <c r="C36" i="58"/>
  <c r="B36" i="58"/>
  <c r="D35" i="58"/>
  <c r="C35" i="58"/>
  <c r="B35" i="58"/>
  <c r="D34" i="58"/>
  <c r="C34" i="58"/>
  <c r="B34" i="58"/>
  <c r="D33" i="58"/>
  <c r="C33" i="58"/>
  <c r="B33" i="58"/>
  <c r="D32" i="58"/>
  <c r="C32" i="58"/>
  <c r="B32" i="58"/>
  <c r="D29" i="58"/>
  <c r="C29" i="58"/>
  <c r="B29" i="58"/>
  <c r="D28" i="58"/>
  <c r="C28" i="58"/>
  <c r="B28" i="58"/>
  <c r="D27" i="58"/>
  <c r="C27" i="58"/>
  <c r="B27" i="58"/>
  <c r="D26" i="58"/>
  <c r="C26" i="58"/>
  <c r="B26" i="58"/>
  <c r="G23" i="58"/>
  <c r="F23" i="58"/>
  <c r="E23" i="58"/>
  <c r="D23" i="58"/>
  <c r="C23" i="58"/>
  <c r="B23" i="58"/>
  <c r="G22" i="58"/>
  <c r="F22" i="58"/>
  <c r="E22" i="58"/>
  <c r="D22" i="58"/>
  <c r="C22" i="58"/>
  <c r="B22" i="58"/>
  <c r="G21" i="58"/>
  <c r="F21" i="58"/>
  <c r="E21" i="58"/>
  <c r="D21" i="58"/>
  <c r="C21" i="58"/>
  <c r="B21" i="58"/>
  <c r="G20" i="58"/>
  <c r="F20" i="58"/>
  <c r="E20" i="58"/>
  <c r="D20" i="58"/>
  <c r="C20" i="58"/>
  <c r="B20" i="58"/>
  <c r="G19" i="58"/>
  <c r="F19" i="58"/>
  <c r="E19" i="58"/>
  <c r="D19" i="58"/>
  <c r="C19" i="58"/>
  <c r="B19" i="58"/>
  <c r="G18" i="58"/>
  <c r="F18" i="58"/>
  <c r="E18" i="58"/>
  <c r="D18" i="58"/>
  <c r="C18" i="58"/>
  <c r="B18" i="58"/>
  <c r="G17" i="58"/>
  <c r="F17" i="58"/>
  <c r="E17" i="58"/>
  <c r="D17" i="58"/>
  <c r="C17" i="58"/>
  <c r="B17" i="58"/>
  <c r="G16" i="58"/>
  <c r="F16" i="58"/>
  <c r="E16" i="58"/>
  <c r="D16" i="58"/>
  <c r="C16" i="58"/>
  <c r="B16" i="58"/>
  <c r="G15" i="58"/>
  <c r="F15" i="58"/>
  <c r="E15" i="58"/>
  <c r="D15" i="58"/>
  <c r="C15" i="58"/>
  <c r="B15" i="58"/>
  <c r="G14" i="58"/>
  <c r="F14" i="58"/>
  <c r="E14" i="58"/>
  <c r="D14" i="58"/>
  <c r="C14" i="58"/>
  <c r="B14" i="58"/>
  <c r="G13" i="58"/>
  <c r="F13" i="58"/>
  <c r="E13" i="58"/>
  <c r="D13" i="58"/>
  <c r="C13" i="58"/>
  <c r="B13" i="58"/>
  <c r="G10" i="58"/>
  <c r="F10" i="58"/>
  <c r="E10" i="58"/>
  <c r="D10" i="58"/>
  <c r="C10" i="58"/>
  <c r="B10" i="58"/>
  <c r="G9" i="58"/>
  <c r="F9" i="58"/>
  <c r="E9" i="58"/>
  <c r="D9" i="58"/>
  <c r="C9" i="58"/>
  <c r="B9" i="58"/>
  <c r="G8" i="58"/>
  <c r="F8" i="58"/>
  <c r="E8" i="58"/>
  <c r="D8" i="58"/>
  <c r="C8" i="58"/>
  <c r="B8" i="58"/>
  <c r="G7" i="58"/>
  <c r="F7" i="58"/>
  <c r="E7" i="58"/>
  <c r="D7" i="58"/>
  <c r="C7" i="58"/>
  <c r="B7" i="58"/>
  <c r="S18" i="53" l="1"/>
  <c r="S17" i="53"/>
  <c r="R17" i="53"/>
  <c r="S16" i="53"/>
  <c r="R16" i="53"/>
  <c r="Q16" i="53"/>
  <c r="S15" i="53"/>
  <c r="R15" i="53"/>
  <c r="Q15" i="53"/>
  <c r="P15" i="53"/>
  <c r="S14" i="53"/>
  <c r="R14" i="53"/>
  <c r="Q14" i="53"/>
  <c r="P14" i="53"/>
  <c r="O14" i="53"/>
  <c r="S13" i="53"/>
  <c r="R13" i="53"/>
  <c r="Q13" i="53"/>
  <c r="P13" i="53"/>
  <c r="O13" i="53"/>
  <c r="N13" i="53"/>
  <c r="S12" i="53"/>
  <c r="R12" i="53"/>
  <c r="Q12" i="53"/>
  <c r="P12" i="53"/>
  <c r="O12" i="53"/>
  <c r="N12" i="53"/>
  <c r="M12" i="53"/>
  <c r="S11" i="53"/>
  <c r="R11" i="53"/>
  <c r="Q11" i="53"/>
  <c r="P11" i="53"/>
  <c r="O11" i="53"/>
  <c r="N11" i="53"/>
  <c r="M11" i="53"/>
  <c r="L11" i="53"/>
  <c r="S10" i="53"/>
  <c r="R10" i="53"/>
  <c r="Q10" i="53"/>
  <c r="P10" i="53"/>
  <c r="O10" i="53"/>
  <c r="N10" i="53"/>
  <c r="M10" i="53"/>
  <c r="L10" i="53"/>
  <c r="K10" i="53"/>
  <c r="S9" i="53"/>
  <c r="R9" i="53"/>
  <c r="Q9" i="53"/>
  <c r="P9" i="53"/>
  <c r="O9" i="53"/>
  <c r="N9" i="53"/>
  <c r="M9" i="53"/>
  <c r="L9" i="53"/>
  <c r="K9" i="53"/>
  <c r="J9" i="53"/>
  <c r="S8" i="53"/>
  <c r="R8" i="53"/>
  <c r="Q8" i="53"/>
  <c r="P8" i="53"/>
  <c r="O8" i="53"/>
  <c r="N8" i="53"/>
  <c r="M8" i="53"/>
  <c r="L8" i="53"/>
  <c r="K8" i="53"/>
  <c r="J8" i="53"/>
  <c r="I8" i="53"/>
  <c r="S7" i="53"/>
  <c r="R7" i="53"/>
  <c r="Q7" i="53"/>
  <c r="P7" i="53"/>
  <c r="O7" i="53"/>
  <c r="N7" i="53"/>
  <c r="M7" i="53"/>
  <c r="L7" i="53"/>
  <c r="K7" i="53"/>
  <c r="J7" i="53"/>
  <c r="I7" i="53"/>
  <c r="H7" i="53"/>
  <c r="S6" i="53"/>
  <c r="R6" i="53"/>
  <c r="Q6" i="53"/>
  <c r="P6" i="53"/>
  <c r="O6" i="53"/>
  <c r="N6" i="53"/>
  <c r="M6" i="53"/>
  <c r="L6" i="53"/>
  <c r="K6" i="53"/>
  <c r="J6" i="53"/>
  <c r="I6" i="53"/>
  <c r="H6" i="53"/>
  <c r="G6" i="53"/>
  <c r="S5" i="53"/>
  <c r="R5" i="53"/>
  <c r="Q5" i="53"/>
  <c r="P5" i="53"/>
  <c r="O5" i="53"/>
  <c r="N5" i="53"/>
  <c r="M5" i="53"/>
  <c r="L5" i="53"/>
  <c r="K5" i="53"/>
  <c r="J5" i="53"/>
  <c r="I5" i="53"/>
  <c r="H5" i="53"/>
  <c r="G5" i="53"/>
  <c r="F5" i="53"/>
  <c r="S4" i="53"/>
  <c r="R4" i="53"/>
  <c r="Q4" i="53"/>
  <c r="P4" i="53"/>
  <c r="O4" i="53"/>
  <c r="N4" i="53"/>
  <c r="M4" i="53"/>
  <c r="L4" i="53"/>
  <c r="K4" i="53"/>
  <c r="J4" i="53"/>
  <c r="I4" i="53"/>
  <c r="H4" i="53"/>
  <c r="G4" i="53"/>
  <c r="F4" i="53"/>
  <c r="E4" i="53"/>
  <c r="S3" i="53"/>
  <c r="R3" i="53"/>
  <c r="Q3" i="53"/>
  <c r="P3" i="53"/>
  <c r="O3" i="53"/>
  <c r="N3" i="53"/>
  <c r="M3" i="53"/>
  <c r="L3" i="53"/>
  <c r="K3" i="53"/>
  <c r="J3" i="53"/>
  <c r="I3" i="53"/>
  <c r="H3" i="53"/>
  <c r="G3" i="53"/>
  <c r="F3" i="53"/>
  <c r="E3" i="53"/>
  <c r="D3" i="53"/>
  <c r="S2" i="53"/>
  <c r="R2" i="53"/>
  <c r="Q2" i="53"/>
  <c r="P2" i="53"/>
  <c r="O2" i="53"/>
  <c r="N2" i="53"/>
  <c r="M2" i="53"/>
  <c r="L2" i="53"/>
  <c r="K2" i="53"/>
  <c r="J2" i="53"/>
  <c r="I2" i="53"/>
  <c r="H2" i="53"/>
  <c r="G2" i="53"/>
  <c r="F2" i="53"/>
  <c r="E2" i="53"/>
  <c r="D2" i="53"/>
  <c r="C2" i="53"/>
  <c r="BF58" i="50" l="1"/>
  <c r="CB80" i="50" l="1"/>
  <c r="CB79" i="50"/>
  <c r="CB78" i="50"/>
  <c r="CB77" i="50"/>
  <c r="CB76" i="50"/>
  <c r="CB75" i="50"/>
  <c r="CB74" i="50"/>
  <c r="CB73" i="50"/>
  <c r="CB72" i="50"/>
  <c r="CB71" i="50"/>
  <c r="CB70" i="50"/>
  <c r="CB69" i="50"/>
  <c r="CB68" i="50"/>
  <c r="CB67" i="50"/>
  <c r="CB66" i="50"/>
  <c r="CB65" i="50"/>
  <c r="CB64" i="50"/>
  <c r="CB63" i="50"/>
  <c r="CB62" i="50"/>
  <c r="CB61" i="50"/>
  <c r="CB60" i="50"/>
  <c r="CB59" i="50"/>
  <c r="CB58" i="50"/>
  <c r="CB57" i="50"/>
  <c r="CB56" i="50"/>
  <c r="CB55" i="50"/>
  <c r="CB54" i="50"/>
  <c r="CB53" i="50"/>
  <c r="CB52" i="50"/>
  <c r="CB51" i="50"/>
  <c r="CB50" i="50"/>
  <c r="CB49" i="50"/>
  <c r="CB48" i="50"/>
  <c r="CB47" i="50"/>
  <c r="CB46" i="50"/>
  <c r="CB45" i="50"/>
  <c r="CB44" i="50"/>
  <c r="CB43" i="50"/>
  <c r="CB42" i="50"/>
  <c r="CB41" i="50"/>
  <c r="CB40" i="50"/>
  <c r="CB39" i="50"/>
  <c r="CB38" i="50"/>
  <c r="CB37" i="50"/>
  <c r="CB36" i="50"/>
  <c r="CB35" i="50"/>
  <c r="CB34" i="50"/>
  <c r="CB33" i="50"/>
  <c r="CB32" i="50"/>
  <c r="CB31" i="50"/>
  <c r="CB30" i="50"/>
  <c r="CB29" i="50"/>
  <c r="CB28" i="50"/>
  <c r="CB27" i="50"/>
  <c r="CB26" i="50"/>
  <c r="CB25" i="50"/>
  <c r="CB24" i="50"/>
  <c r="CB23" i="50"/>
  <c r="CB22" i="50"/>
  <c r="CB21" i="50"/>
  <c r="CB20" i="50"/>
  <c r="CB19" i="50"/>
  <c r="CB18" i="50"/>
  <c r="CB17" i="50"/>
  <c r="CB16" i="50"/>
  <c r="CB15" i="50"/>
  <c r="CB14" i="50"/>
  <c r="CB13" i="50"/>
  <c r="CB12" i="50"/>
  <c r="CB11" i="50"/>
  <c r="CB10" i="50"/>
  <c r="CB9" i="50"/>
  <c r="CB8" i="50"/>
  <c r="CB7" i="50"/>
  <c r="CB6" i="50"/>
  <c r="CB5" i="50"/>
  <c r="CB4" i="50"/>
  <c r="BF56" i="50"/>
  <c r="BF55" i="50"/>
  <c r="BF54" i="50"/>
  <c r="BF53" i="50"/>
  <c r="BF52" i="50"/>
  <c r="BF51" i="50"/>
  <c r="BF50" i="50"/>
  <c r="BF49" i="50"/>
  <c r="BF48" i="50"/>
  <c r="BF47" i="50"/>
  <c r="BF46" i="50"/>
  <c r="BF45" i="50"/>
  <c r="BF44" i="50"/>
  <c r="BF43" i="50"/>
  <c r="BF42" i="50"/>
  <c r="BF41" i="50"/>
  <c r="BF40" i="50"/>
  <c r="BF39" i="50"/>
  <c r="BF38" i="50"/>
  <c r="BF37" i="50"/>
  <c r="BF36" i="50"/>
  <c r="BF35" i="50"/>
  <c r="BF34" i="50"/>
  <c r="BF33" i="50"/>
  <c r="BF32" i="50"/>
  <c r="BF31" i="50"/>
  <c r="BF30" i="50"/>
  <c r="BF29" i="50"/>
  <c r="BF28" i="50"/>
  <c r="BF27" i="50"/>
  <c r="BF26" i="50"/>
  <c r="BF25" i="50"/>
  <c r="BF24" i="50"/>
  <c r="BF23" i="50"/>
  <c r="BF22" i="50"/>
  <c r="BF21" i="50"/>
  <c r="BF20" i="50"/>
  <c r="BF19" i="50"/>
  <c r="BF18" i="50"/>
  <c r="BF17" i="50"/>
  <c r="BF16" i="50"/>
  <c r="BF15" i="50"/>
  <c r="BF14" i="50"/>
  <c r="BF13" i="50"/>
  <c r="BF12" i="50"/>
  <c r="BF11" i="50"/>
  <c r="BF10" i="50"/>
  <c r="BF9" i="50"/>
  <c r="BF8" i="50"/>
  <c r="BF7" i="50"/>
  <c r="BF6" i="50"/>
  <c r="BF5" i="50"/>
  <c r="BF4" i="50"/>
  <c r="AT46" i="50"/>
  <c r="AT45" i="50"/>
  <c r="AT44" i="50"/>
  <c r="AT43" i="50"/>
  <c r="AT42" i="50"/>
  <c r="AT41" i="50"/>
  <c r="AT40" i="50"/>
  <c r="AT39" i="50"/>
  <c r="AT38" i="50"/>
  <c r="AT37" i="50"/>
  <c r="AT36" i="50"/>
  <c r="AT35" i="50"/>
  <c r="AT34" i="50"/>
  <c r="AT33" i="50"/>
  <c r="AT32" i="50"/>
  <c r="AT31" i="50"/>
  <c r="AT30" i="50"/>
  <c r="AT29" i="50"/>
  <c r="AT28" i="50"/>
  <c r="AT27" i="50"/>
  <c r="AT26" i="50"/>
  <c r="AT25" i="50"/>
  <c r="AT24" i="50"/>
  <c r="AT23" i="50"/>
  <c r="AT22" i="50"/>
  <c r="AT21" i="50"/>
  <c r="AT20" i="50"/>
  <c r="AT19" i="50"/>
  <c r="AT18" i="50"/>
  <c r="AT17" i="50"/>
  <c r="AT16" i="50"/>
  <c r="AT15" i="50"/>
  <c r="AT14" i="50"/>
  <c r="AT13" i="50"/>
  <c r="AT12" i="50"/>
  <c r="AT11" i="50"/>
  <c r="AT10" i="50"/>
  <c r="AT9" i="50"/>
  <c r="AT8" i="50"/>
  <c r="AT7" i="50"/>
  <c r="AT6" i="50"/>
  <c r="AT5" i="50"/>
  <c r="AT4" i="50"/>
  <c r="AE31" i="50"/>
  <c r="AE30" i="50"/>
  <c r="AE29" i="50"/>
  <c r="AE28" i="50"/>
  <c r="AE27" i="50"/>
  <c r="AE26" i="50"/>
  <c r="AE25" i="50"/>
  <c r="AE24" i="50"/>
  <c r="AE23" i="50"/>
  <c r="AE22" i="50"/>
  <c r="AE21" i="50"/>
  <c r="AE20" i="50"/>
  <c r="AE19" i="50"/>
  <c r="AE18" i="50"/>
  <c r="AE17" i="50"/>
  <c r="AE16" i="50"/>
  <c r="AE15" i="50"/>
  <c r="AE14" i="50"/>
  <c r="AE13" i="50"/>
  <c r="AE12" i="50"/>
  <c r="AE11" i="50"/>
  <c r="AE10" i="50"/>
  <c r="AE9" i="50"/>
  <c r="AE8" i="50"/>
  <c r="AE7" i="50"/>
  <c r="AE6" i="50"/>
  <c r="AE5" i="50"/>
  <c r="AE4" i="50"/>
  <c r="AD30" i="50"/>
  <c r="AD29" i="50"/>
  <c r="AD28" i="50"/>
  <c r="AD27" i="50"/>
  <c r="AD26" i="50"/>
  <c r="AD25" i="50"/>
  <c r="AD24" i="50"/>
  <c r="AD23" i="50"/>
  <c r="AD22" i="50"/>
  <c r="AD21" i="50"/>
  <c r="AD20" i="50"/>
  <c r="AD19" i="50"/>
  <c r="AD18" i="50"/>
  <c r="AD17" i="50"/>
  <c r="AD16" i="50"/>
  <c r="AD15" i="50"/>
  <c r="AD14" i="50"/>
  <c r="AD13" i="50"/>
  <c r="AD12" i="50"/>
  <c r="AD11" i="50"/>
  <c r="AD10" i="50"/>
  <c r="AD9" i="50"/>
  <c r="AD8" i="50"/>
  <c r="AD7" i="50"/>
  <c r="AD6" i="50"/>
  <c r="AD5" i="50"/>
  <c r="AD4" i="50"/>
  <c r="BK23" i="50"/>
  <c r="BJ23" i="50"/>
  <c r="BI23" i="50"/>
  <c r="BH23" i="50"/>
  <c r="BG23" i="50"/>
  <c r="BE23" i="50"/>
  <c r="BD23" i="50"/>
  <c r="BC23" i="50"/>
  <c r="BB23" i="50"/>
  <c r="BA23" i="50"/>
  <c r="AZ23" i="50"/>
  <c r="AY23" i="50"/>
  <c r="AX23" i="50"/>
  <c r="AW23" i="50"/>
  <c r="AV23" i="50"/>
  <c r="AU23" i="50"/>
  <c r="AS23" i="50"/>
  <c r="AR23" i="50"/>
  <c r="AQ23" i="50"/>
  <c r="AP23" i="50"/>
  <c r="AO23" i="50"/>
  <c r="AN23" i="50"/>
  <c r="AM23" i="50"/>
  <c r="AL23" i="50"/>
  <c r="AK23" i="50"/>
  <c r="AJ23" i="50"/>
  <c r="AI23" i="50"/>
  <c r="AH23" i="50"/>
  <c r="AG23" i="50"/>
  <c r="AF23" i="50"/>
  <c r="AC23" i="50"/>
  <c r="AB23" i="50"/>
  <c r="AA23" i="50"/>
  <c r="Z23" i="50"/>
  <c r="Y23" i="50"/>
  <c r="X23" i="50"/>
  <c r="W23" i="50"/>
  <c r="CH23" i="50"/>
  <c r="CG23" i="50"/>
  <c r="CF23" i="50"/>
  <c r="CE23" i="50"/>
  <c r="CD23" i="50"/>
  <c r="CC23" i="50"/>
  <c r="CA23" i="50"/>
  <c r="BZ23" i="50"/>
  <c r="BY23" i="50"/>
  <c r="BX23" i="50"/>
  <c r="BW23" i="50"/>
  <c r="BV23" i="50"/>
  <c r="BU23" i="50"/>
  <c r="BT23" i="50"/>
  <c r="BS23" i="50"/>
  <c r="BR23" i="50"/>
  <c r="BQ23" i="50"/>
  <c r="BP23" i="50"/>
  <c r="BO23" i="50"/>
  <c r="BN23" i="50"/>
  <c r="BM23" i="50"/>
  <c r="BL23" i="50"/>
  <c r="BN17" i="50"/>
  <c r="BE17" i="50"/>
  <c r="BD17" i="50"/>
  <c r="BC17" i="50"/>
  <c r="BB17" i="50"/>
  <c r="BA17" i="50"/>
  <c r="AZ17" i="50"/>
  <c r="AY17" i="50"/>
  <c r="AX17" i="50"/>
  <c r="AW17" i="50"/>
  <c r="AV17" i="50"/>
  <c r="AU17" i="50"/>
  <c r="AS17" i="50"/>
  <c r="AR17" i="50"/>
  <c r="AQ17" i="50"/>
  <c r="AP17" i="50"/>
  <c r="AO17" i="50"/>
  <c r="AN17" i="50"/>
  <c r="AM17" i="50"/>
  <c r="AL17" i="50"/>
  <c r="AK17" i="50"/>
  <c r="AJ17" i="50"/>
  <c r="AI17" i="50"/>
  <c r="AH17" i="50"/>
  <c r="AG17" i="50"/>
  <c r="AF17" i="50"/>
  <c r="AC17" i="50"/>
  <c r="AB17" i="50"/>
  <c r="AA17" i="50"/>
  <c r="Z17" i="50"/>
  <c r="Y17" i="50"/>
  <c r="X17" i="50"/>
  <c r="W17" i="50"/>
  <c r="V17" i="50"/>
  <c r="U17" i="50"/>
  <c r="T17" i="50"/>
  <c r="S17" i="50"/>
  <c r="R17" i="50"/>
  <c r="Q17" i="50"/>
  <c r="CH17" i="50"/>
  <c r="CG17" i="50"/>
  <c r="CF17" i="50"/>
  <c r="CE17" i="50"/>
  <c r="CD17" i="50"/>
  <c r="CC17" i="50"/>
  <c r="CA17" i="50"/>
  <c r="BZ17" i="50"/>
  <c r="BY17" i="50"/>
  <c r="BX17" i="50"/>
  <c r="BW17" i="50"/>
  <c r="BV17" i="50"/>
  <c r="BU17" i="50"/>
  <c r="BT17" i="50"/>
  <c r="BS17" i="50"/>
  <c r="BR17" i="50"/>
  <c r="BQ17" i="50"/>
  <c r="BP17" i="50"/>
  <c r="BO17" i="50"/>
  <c r="BM17" i="50"/>
  <c r="BL17" i="50"/>
  <c r="BK17" i="50"/>
  <c r="BJ17" i="50"/>
  <c r="BI17" i="50"/>
  <c r="BH17" i="50"/>
  <c r="BG17" i="50"/>
  <c r="V18" i="50"/>
  <c r="V22" i="50"/>
  <c r="V21" i="50"/>
  <c r="V20" i="50"/>
  <c r="V19" i="50"/>
  <c r="V16" i="50"/>
  <c r="V15" i="50"/>
  <c r="V14" i="50"/>
  <c r="V13" i="50"/>
  <c r="V12" i="50"/>
  <c r="V11" i="50"/>
  <c r="V10" i="50"/>
  <c r="V9" i="50"/>
  <c r="V8" i="50"/>
  <c r="V7" i="50"/>
  <c r="V6" i="50"/>
  <c r="V5" i="50"/>
  <c r="V4" i="50"/>
  <c r="CH31" i="50"/>
  <c r="CG31" i="50"/>
  <c r="CF31" i="50"/>
  <c r="CE31" i="50"/>
  <c r="CD31" i="50"/>
  <c r="CC31" i="50"/>
  <c r="CA31" i="50"/>
  <c r="BZ31" i="50"/>
  <c r="BY31" i="50"/>
  <c r="BX31" i="50"/>
  <c r="BW31" i="50"/>
  <c r="BV31" i="50"/>
  <c r="BU31" i="50"/>
  <c r="BT31" i="50"/>
  <c r="BS31" i="50"/>
  <c r="BR31" i="50"/>
  <c r="BQ31" i="50"/>
  <c r="BP31" i="50"/>
  <c r="BO31" i="50"/>
  <c r="BN31" i="50"/>
  <c r="BM31" i="50"/>
  <c r="BL31" i="50"/>
  <c r="BK31" i="50"/>
  <c r="BJ31" i="50"/>
  <c r="BI31" i="50"/>
  <c r="BH31" i="50"/>
  <c r="BG31" i="50"/>
  <c r="BE31" i="50"/>
  <c r="BD31" i="50"/>
  <c r="BC31" i="50"/>
  <c r="BB31" i="50"/>
  <c r="BA31" i="50"/>
  <c r="AZ31" i="50"/>
  <c r="AY31" i="50"/>
  <c r="AX31" i="50"/>
  <c r="AW31" i="50"/>
  <c r="AV31" i="50"/>
  <c r="AU31" i="50"/>
  <c r="AS31" i="50"/>
  <c r="AR31" i="50"/>
  <c r="AQ31" i="50"/>
  <c r="AP31" i="50"/>
  <c r="AO31" i="50"/>
  <c r="AN31" i="50"/>
  <c r="AM31" i="50"/>
  <c r="AL31" i="50"/>
  <c r="AK31" i="50"/>
  <c r="AJ31" i="50"/>
  <c r="AI31" i="50"/>
  <c r="AH31" i="50"/>
  <c r="AG31" i="50"/>
  <c r="AF31" i="50"/>
  <c r="BR32" i="50"/>
  <c r="BQ32" i="50"/>
  <c r="BP32" i="50"/>
  <c r="BO32" i="50"/>
  <c r="BN32" i="50"/>
  <c r="BM32" i="50"/>
  <c r="BL32" i="50"/>
  <c r="BK32" i="50"/>
  <c r="BJ32" i="50"/>
  <c r="BI32" i="50"/>
  <c r="BH32" i="50"/>
  <c r="BG32" i="50"/>
  <c r="BE32" i="50"/>
  <c r="BD32" i="50"/>
  <c r="BC32" i="50"/>
  <c r="BB32" i="50"/>
  <c r="BA32" i="50"/>
  <c r="AZ32" i="50"/>
  <c r="AY32" i="50"/>
  <c r="AX32" i="50"/>
  <c r="AW32" i="50"/>
  <c r="AV32" i="50"/>
  <c r="AU32" i="50"/>
  <c r="AS32" i="50"/>
  <c r="AR32" i="50"/>
  <c r="AQ32" i="50"/>
  <c r="AP32" i="50"/>
  <c r="AO32" i="50"/>
  <c r="AN32" i="50"/>
  <c r="AM32" i="50"/>
  <c r="AL32" i="50"/>
  <c r="AK32" i="50"/>
  <c r="AJ32" i="50"/>
  <c r="AI32" i="50"/>
  <c r="AH32" i="50"/>
  <c r="AG32" i="50"/>
  <c r="AF32" i="50"/>
  <c r="CH32" i="50"/>
  <c r="CG32" i="50"/>
  <c r="CF32" i="50"/>
  <c r="CE32" i="50"/>
  <c r="CD32" i="50"/>
  <c r="CC32" i="50"/>
  <c r="CA32" i="50"/>
  <c r="BZ32" i="50"/>
  <c r="BY32" i="50"/>
  <c r="BX32" i="50"/>
  <c r="BW32" i="50"/>
  <c r="BV32" i="50"/>
  <c r="BU32" i="50"/>
  <c r="BT32" i="50"/>
  <c r="BS32" i="50"/>
  <c r="CF47" i="50"/>
  <c r="CE47" i="50"/>
  <c r="CD47" i="50"/>
  <c r="CC47" i="50"/>
  <c r="CA47" i="50"/>
  <c r="BZ47" i="50"/>
  <c r="BY47" i="50"/>
  <c r="BX47" i="50"/>
  <c r="BW47" i="50"/>
  <c r="BV47" i="50"/>
  <c r="BU47" i="50"/>
  <c r="BT47" i="50"/>
  <c r="BS47" i="50"/>
  <c r="BR47" i="50"/>
  <c r="BQ47" i="50"/>
  <c r="BP47" i="50"/>
  <c r="BO47" i="50"/>
  <c r="BN47" i="50"/>
  <c r="BM47" i="50"/>
  <c r="BL47" i="50"/>
  <c r="BK47" i="50"/>
  <c r="BJ47" i="50"/>
  <c r="BI47" i="50"/>
  <c r="BH47" i="50"/>
  <c r="BG47" i="50"/>
  <c r="BE47" i="50"/>
  <c r="BD47" i="50"/>
  <c r="BC47" i="50"/>
  <c r="BB47" i="50"/>
  <c r="BA47" i="50"/>
  <c r="AZ47" i="50"/>
  <c r="AY47" i="50"/>
  <c r="AX47" i="50"/>
  <c r="AW47" i="50"/>
  <c r="AV47" i="50"/>
  <c r="AU47" i="50"/>
  <c r="CH47" i="50"/>
  <c r="CG47" i="50"/>
  <c r="CH59" i="50"/>
  <c r="CG59" i="50"/>
  <c r="CF59" i="50"/>
  <c r="CE59" i="50"/>
  <c r="CD59" i="50"/>
  <c r="CC59" i="50"/>
  <c r="CA59" i="50"/>
  <c r="BZ59" i="50"/>
  <c r="BY59" i="50"/>
  <c r="BX59" i="50"/>
  <c r="BW59" i="50"/>
  <c r="BV59" i="50"/>
  <c r="BU59" i="50"/>
  <c r="BT59" i="50"/>
  <c r="BS59" i="50"/>
  <c r="BR59" i="50"/>
  <c r="BQ59" i="50"/>
  <c r="BP59" i="50"/>
  <c r="BO59" i="50"/>
  <c r="BN59" i="50"/>
  <c r="BM59" i="50"/>
  <c r="BL59" i="50"/>
  <c r="BK59" i="50"/>
  <c r="BJ59" i="50"/>
  <c r="BI59" i="50"/>
  <c r="BH59" i="50"/>
  <c r="BG59" i="50"/>
  <c r="CH81" i="50"/>
  <c r="CG81" i="50"/>
  <c r="CF81" i="50"/>
  <c r="CE81" i="50"/>
  <c r="CD81" i="50"/>
  <c r="CC81" i="50"/>
  <c r="CB3" i="50"/>
  <c r="BF3" i="50"/>
  <c r="AT3" i="50"/>
  <c r="AE3" i="50"/>
  <c r="AD3" i="50"/>
  <c r="V3" i="50"/>
  <c r="Q3" i="50"/>
  <c r="P3" i="50"/>
  <c r="P16" i="50"/>
  <c r="P15" i="50"/>
  <c r="P14" i="50"/>
  <c r="P13" i="50"/>
  <c r="P12" i="50"/>
  <c r="P11" i="50"/>
  <c r="P10" i="50"/>
  <c r="P9" i="50"/>
  <c r="P8" i="50"/>
  <c r="P7" i="50"/>
  <c r="P6" i="50"/>
  <c r="P5" i="50"/>
  <c r="P4" i="50"/>
  <c r="BU14" i="50"/>
  <c r="CH14" i="50"/>
  <c r="CG14" i="50"/>
  <c r="CF14" i="50"/>
  <c r="CE14" i="50"/>
  <c r="CD14" i="50"/>
  <c r="CC14" i="50"/>
  <c r="CA14" i="50"/>
  <c r="BZ14" i="50"/>
  <c r="BY14" i="50"/>
  <c r="BX14" i="50"/>
  <c r="BW14" i="50"/>
  <c r="BV14" i="50"/>
  <c r="BT14" i="50"/>
  <c r="BS14" i="50"/>
  <c r="BR14" i="50"/>
  <c r="BQ14" i="50"/>
  <c r="BP14" i="50"/>
  <c r="BO14" i="50"/>
  <c r="BN14" i="50"/>
  <c r="BM14" i="50"/>
  <c r="BL14" i="50"/>
  <c r="BK14" i="50"/>
  <c r="BJ14" i="50"/>
  <c r="BI14" i="50"/>
  <c r="BH14" i="50"/>
  <c r="BG14" i="50"/>
  <c r="BE14" i="50"/>
  <c r="BD14" i="50"/>
  <c r="BC14" i="50"/>
  <c r="BB14" i="50"/>
  <c r="BA14" i="50"/>
  <c r="AZ14" i="50"/>
  <c r="AY14" i="50"/>
  <c r="AX14" i="50"/>
  <c r="AW14" i="50"/>
  <c r="AV14" i="50"/>
  <c r="AU14" i="50"/>
  <c r="AS14" i="50"/>
  <c r="AR14" i="50"/>
  <c r="AQ14" i="50"/>
  <c r="AP14" i="50"/>
  <c r="AO14" i="50"/>
  <c r="AN14" i="50"/>
  <c r="AM14" i="50"/>
  <c r="AL14" i="50"/>
  <c r="AK14" i="50"/>
  <c r="AJ14" i="50"/>
  <c r="AI14" i="50"/>
  <c r="AH14" i="50"/>
  <c r="AG14" i="50"/>
  <c r="AF14" i="50"/>
  <c r="AC14" i="50"/>
  <c r="AB14" i="50"/>
  <c r="AA14" i="50"/>
  <c r="Z14" i="50"/>
  <c r="Y14" i="50"/>
  <c r="X14" i="50"/>
  <c r="W14" i="50"/>
  <c r="U14" i="50"/>
  <c r="T14" i="50"/>
  <c r="S14" i="50"/>
  <c r="R14" i="50"/>
  <c r="Q14" i="50"/>
  <c r="M3" i="50"/>
  <c r="M13" i="50"/>
  <c r="M12" i="50"/>
  <c r="M11" i="50"/>
  <c r="M10" i="50"/>
  <c r="M9" i="50"/>
  <c r="M8" i="50"/>
  <c r="M7" i="50"/>
  <c r="M6" i="50"/>
  <c r="M5" i="50"/>
  <c r="M4" i="50"/>
  <c r="O14" i="50"/>
  <c r="N14" i="50"/>
  <c r="CH86" i="50" l="1"/>
  <c r="CH85" i="50"/>
  <c r="CG85" i="50"/>
  <c r="CH84" i="50"/>
  <c r="CG84" i="50"/>
  <c r="CF84" i="50"/>
  <c r="CH83" i="50"/>
  <c r="CG83" i="50"/>
  <c r="CF83" i="50"/>
  <c r="CE83" i="50"/>
  <c r="CH82" i="50"/>
  <c r="CG82" i="50"/>
  <c r="CF82" i="50"/>
  <c r="CE82" i="50"/>
  <c r="CD82" i="50"/>
  <c r="CH80" i="50"/>
  <c r="CG80" i="50"/>
  <c r="CF80" i="50"/>
  <c r="CE80" i="50"/>
  <c r="CD80" i="50"/>
  <c r="CC80" i="50"/>
  <c r="CH79" i="50"/>
  <c r="CG79" i="50"/>
  <c r="CF79" i="50"/>
  <c r="CE79" i="50"/>
  <c r="CD79" i="50"/>
  <c r="CC79" i="50"/>
  <c r="CA79" i="50"/>
  <c r="CH78" i="50"/>
  <c r="CG78" i="50"/>
  <c r="CF78" i="50"/>
  <c r="CE78" i="50"/>
  <c r="CD78" i="50"/>
  <c r="CC78" i="50"/>
  <c r="CA78" i="50"/>
  <c r="BZ78" i="50"/>
  <c r="CH77" i="50"/>
  <c r="CG77" i="50"/>
  <c r="CF77" i="50"/>
  <c r="CE77" i="50"/>
  <c r="CD77" i="50"/>
  <c r="CC77" i="50"/>
  <c r="CA77" i="50"/>
  <c r="BZ77" i="50"/>
  <c r="BY77" i="50"/>
  <c r="CH76" i="50"/>
  <c r="CG76" i="50"/>
  <c r="CF76" i="50"/>
  <c r="CE76" i="50"/>
  <c r="CD76" i="50"/>
  <c r="CC76" i="50"/>
  <c r="CA76" i="50"/>
  <c r="BZ76" i="50"/>
  <c r="BY76" i="50"/>
  <c r="BX76" i="50"/>
  <c r="CH75" i="50"/>
  <c r="CG75" i="50"/>
  <c r="CF75" i="50"/>
  <c r="CE75" i="50"/>
  <c r="CD75" i="50"/>
  <c r="CC75" i="50"/>
  <c r="CA75" i="50"/>
  <c r="BZ75" i="50"/>
  <c r="BY75" i="50"/>
  <c r="BX75" i="50"/>
  <c r="BW75" i="50"/>
  <c r="CH74" i="50"/>
  <c r="CG74" i="50"/>
  <c r="CF74" i="50"/>
  <c r="CE74" i="50"/>
  <c r="CD74" i="50"/>
  <c r="CC74" i="50"/>
  <c r="CA74" i="50"/>
  <c r="BZ74" i="50"/>
  <c r="BY74" i="50"/>
  <c r="BX74" i="50"/>
  <c r="BW74" i="50"/>
  <c r="BV74" i="50"/>
  <c r="CH73" i="50"/>
  <c r="CG73" i="50"/>
  <c r="CF73" i="50"/>
  <c r="CE73" i="50"/>
  <c r="CD73" i="50"/>
  <c r="CC73" i="50"/>
  <c r="CA73" i="50"/>
  <c r="BZ73" i="50"/>
  <c r="BY73" i="50"/>
  <c r="BX73" i="50"/>
  <c r="BW73" i="50"/>
  <c r="BV73" i="50"/>
  <c r="BU73" i="50"/>
  <c r="CH72" i="50"/>
  <c r="CG72" i="50"/>
  <c r="CF72" i="50"/>
  <c r="CE72" i="50"/>
  <c r="CD72" i="50"/>
  <c r="CC72" i="50"/>
  <c r="CA72" i="50"/>
  <c r="BZ72" i="50"/>
  <c r="BY72" i="50"/>
  <c r="BX72" i="50"/>
  <c r="BW72" i="50"/>
  <c r="BV72" i="50"/>
  <c r="BU72" i="50"/>
  <c r="BT72" i="50"/>
  <c r="CH71" i="50"/>
  <c r="CG71" i="50"/>
  <c r="CF71" i="50"/>
  <c r="CE71" i="50"/>
  <c r="CD71" i="50"/>
  <c r="CC71" i="50"/>
  <c r="CA71" i="50"/>
  <c r="BZ71" i="50"/>
  <c r="BY71" i="50"/>
  <c r="BX71" i="50"/>
  <c r="BW71" i="50"/>
  <c r="BV71" i="50"/>
  <c r="BU71" i="50"/>
  <c r="BT71" i="50"/>
  <c r="BS71" i="50"/>
  <c r="CH70" i="50"/>
  <c r="CG70" i="50"/>
  <c r="CF70" i="50"/>
  <c r="CE70" i="50"/>
  <c r="CD70" i="50"/>
  <c r="CC70" i="50"/>
  <c r="CA70" i="50"/>
  <c r="BZ70" i="50"/>
  <c r="BY70" i="50"/>
  <c r="BX70" i="50"/>
  <c r="BW70" i="50"/>
  <c r="BV70" i="50"/>
  <c r="BU70" i="50"/>
  <c r="BT70" i="50"/>
  <c r="BS70" i="50"/>
  <c r="BR70" i="50"/>
  <c r="CH69" i="50"/>
  <c r="CG69" i="50"/>
  <c r="CF69" i="50"/>
  <c r="CE69" i="50"/>
  <c r="CD69" i="50"/>
  <c r="CC69" i="50"/>
  <c r="CA69" i="50"/>
  <c r="BZ69" i="50"/>
  <c r="BY69" i="50"/>
  <c r="BX69" i="50"/>
  <c r="BW69" i="50"/>
  <c r="BV69" i="50"/>
  <c r="BU69" i="50"/>
  <c r="BT69" i="50"/>
  <c r="BS69" i="50"/>
  <c r="BR69" i="50"/>
  <c r="BQ69" i="50"/>
  <c r="CH68" i="50"/>
  <c r="CG68" i="50"/>
  <c r="CF68" i="50"/>
  <c r="CE68" i="50"/>
  <c r="CD68" i="50"/>
  <c r="CC68" i="50"/>
  <c r="CA68" i="50"/>
  <c r="BZ68" i="50"/>
  <c r="BY68" i="50"/>
  <c r="BX68" i="50"/>
  <c r="BW68" i="50"/>
  <c r="BV68" i="50"/>
  <c r="BU68" i="50"/>
  <c r="BT68" i="50"/>
  <c r="BS68" i="50"/>
  <c r="BR68" i="50"/>
  <c r="BQ68" i="50"/>
  <c r="BP68" i="50"/>
  <c r="CH67" i="50"/>
  <c r="CG67" i="50"/>
  <c r="CF67" i="50"/>
  <c r="CE67" i="50"/>
  <c r="CD67" i="50"/>
  <c r="CC67" i="50"/>
  <c r="CA67" i="50"/>
  <c r="BZ67" i="50"/>
  <c r="BY67" i="50"/>
  <c r="BX67" i="50"/>
  <c r="BW67" i="50"/>
  <c r="BV67" i="50"/>
  <c r="BU67" i="50"/>
  <c r="BT67" i="50"/>
  <c r="BS67" i="50"/>
  <c r="BR67" i="50"/>
  <c r="BQ67" i="50"/>
  <c r="BP67" i="50"/>
  <c r="BO67" i="50"/>
  <c r="CH66" i="50"/>
  <c r="CG66" i="50"/>
  <c r="CF66" i="50"/>
  <c r="CE66" i="50"/>
  <c r="CD66" i="50"/>
  <c r="CC66" i="50"/>
  <c r="CA66" i="50"/>
  <c r="BZ66" i="50"/>
  <c r="BY66" i="50"/>
  <c r="BX66" i="50"/>
  <c r="BW66" i="50"/>
  <c r="BV66" i="50"/>
  <c r="BU66" i="50"/>
  <c r="BT66" i="50"/>
  <c r="BS66" i="50"/>
  <c r="BR66" i="50"/>
  <c r="BQ66" i="50"/>
  <c r="BP66" i="50"/>
  <c r="BO66" i="50"/>
  <c r="BN66" i="50"/>
  <c r="CH65" i="50"/>
  <c r="CG65" i="50"/>
  <c r="CF65" i="50"/>
  <c r="CE65" i="50"/>
  <c r="CD65" i="50"/>
  <c r="CC65" i="50"/>
  <c r="CA65" i="50"/>
  <c r="BZ65" i="50"/>
  <c r="BY65" i="50"/>
  <c r="BX65" i="50"/>
  <c r="BW65" i="50"/>
  <c r="BV65" i="50"/>
  <c r="BU65" i="50"/>
  <c r="BT65" i="50"/>
  <c r="BS65" i="50"/>
  <c r="BR65" i="50"/>
  <c r="BQ65" i="50"/>
  <c r="BP65" i="50"/>
  <c r="BO65" i="50"/>
  <c r="BN65" i="50"/>
  <c r="BM65" i="50"/>
  <c r="CH64" i="50"/>
  <c r="CG64" i="50"/>
  <c r="CF64" i="50"/>
  <c r="CE64" i="50"/>
  <c r="CD64" i="50"/>
  <c r="CC64" i="50"/>
  <c r="CA64" i="50"/>
  <c r="BZ64" i="50"/>
  <c r="BY64" i="50"/>
  <c r="BX64" i="50"/>
  <c r="BW64" i="50"/>
  <c r="BV64" i="50"/>
  <c r="BU64" i="50"/>
  <c r="BT64" i="50"/>
  <c r="BS64" i="50"/>
  <c r="BR64" i="50"/>
  <c r="BQ64" i="50"/>
  <c r="BP64" i="50"/>
  <c r="BO64" i="50"/>
  <c r="BN64" i="50"/>
  <c r="BM64" i="50"/>
  <c r="BL64" i="50"/>
  <c r="CH63" i="50"/>
  <c r="CG63" i="50"/>
  <c r="CF63" i="50"/>
  <c r="CE63" i="50"/>
  <c r="CD63" i="50"/>
  <c r="CC63" i="50"/>
  <c r="CA63" i="50"/>
  <c r="BZ63" i="50"/>
  <c r="BY63" i="50"/>
  <c r="BX63" i="50"/>
  <c r="BW63" i="50"/>
  <c r="BV63" i="50"/>
  <c r="BU63" i="50"/>
  <c r="BT63" i="50"/>
  <c r="BS63" i="50"/>
  <c r="BR63" i="50"/>
  <c r="BQ63" i="50"/>
  <c r="BP63" i="50"/>
  <c r="BO63" i="50"/>
  <c r="BN63" i="50"/>
  <c r="BM63" i="50"/>
  <c r="BL63" i="50"/>
  <c r="BK63" i="50"/>
  <c r="CH62" i="50"/>
  <c r="CG62" i="50"/>
  <c r="CF62" i="50"/>
  <c r="CE62" i="50"/>
  <c r="CD62" i="50"/>
  <c r="CC62" i="50"/>
  <c r="CA62" i="50"/>
  <c r="BZ62" i="50"/>
  <c r="BY62" i="50"/>
  <c r="BX62" i="50"/>
  <c r="BW62" i="50"/>
  <c r="BV62" i="50"/>
  <c r="BU62" i="50"/>
  <c r="BT62" i="50"/>
  <c r="BS62" i="50"/>
  <c r="BR62" i="50"/>
  <c r="BQ62" i="50"/>
  <c r="BP62" i="50"/>
  <c r="BO62" i="50"/>
  <c r="BN62" i="50"/>
  <c r="BM62" i="50"/>
  <c r="BL62" i="50"/>
  <c r="BK62" i="50"/>
  <c r="BJ62" i="50"/>
  <c r="CH61" i="50"/>
  <c r="CG61" i="50"/>
  <c r="CF61" i="50"/>
  <c r="CE61" i="50"/>
  <c r="CD61" i="50"/>
  <c r="CC61" i="50"/>
  <c r="CA61" i="50"/>
  <c r="BZ61" i="50"/>
  <c r="BY61" i="50"/>
  <c r="BX61" i="50"/>
  <c r="BW61" i="50"/>
  <c r="BV61" i="50"/>
  <c r="BU61" i="50"/>
  <c r="BT61" i="50"/>
  <c r="BS61" i="50"/>
  <c r="BR61" i="50"/>
  <c r="BQ61" i="50"/>
  <c r="BP61" i="50"/>
  <c r="BO61" i="50"/>
  <c r="BN61" i="50"/>
  <c r="BM61" i="50"/>
  <c r="BL61" i="50"/>
  <c r="BK61" i="50"/>
  <c r="BJ61" i="50"/>
  <c r="BI61" i="50"/>
  <c r="CH60" i="50"/>
  <c r="CG60" i="50"/>
  <c r="CF60" i="50"/>
  <c r="CE60" i="50"/>
  <c r="CD60" i="50"/>
  <c r="CC60" i="50"/>
  <c r="CA60" i="50"/>
  <c r="BZ60" i="50"/>
  <c r="BY60" i="50"/>
  <c r="BX60" i="50"/>
  <c r="BW60" i="50"/>
  <c r="BV60" i="50"/>
  <c r="BU60" i="50"/>
  <c r="BT60" i="50"/>
  <c r="BS60" i="50"/>
  <c r="BR60" i="50"/>
  <c r="BQ60" i="50"/>
  <c r="BP60" i="50"/>
  <c r="BO60" i="50"/>
  <c r="BN60" i="50"/>
  <c r="BM60" i="50"/>
  <c r="BL60" i="50"/>
  <c r="BK60" i="50"/>
  <c r="BJ60" i="50"/>
  <c r="BI60" i="50"/>
  <c r="BH60" i="50"/>
  <c r="CH58" i="50"/>
  <c r="CG58" i="50"/>
  <c r="CF58" i="50"/>
  <c r="CE58" i="50"/>
  <c r="CD58" i="50"/>
  <c r="CC58" i="50"/>
  <c r="CA58" i="50"/>
  <c r="BZ58" i="50"/>
  <c r="BY58" i="50"/>
  <c r="BX58" i="50"/>
  <c r="BW58" i="50"/>
  <c r="BV58" i="50"/>
  <c r="BU58" i="50"/>
  <c r="BT58" i="50"/>
  <c r="BS58" i="50"/>
  <c r="BR58" i="50"/>
  <c r="BQ58" i="50"/>
  <c r="BP58" i="50"/>
  <c r="BO58" i="50"/>
  <c r="BN58" i="50"/>
  <c r="BM58" i="50"/>
  <c r="BL58" i="50"/>
  <c r="BK58" i="50"/>
  <c r="BJ58" i="50"/>
  <c r="BI58" i="50"/>
  <c r="BH58" i="50"/>
  <c r="BG58" i="50"/>
  <c r="CH57" i="50"/>
  <c r="CG57" i="50"/>
  <c r="CF57" i="50"/>
  <c r="CE57" i="50"/>
  <c r="CD57" i="50"/>
  <c r="CC57" i="50"/>
  <c r="CA57" i="50"/>
  <c r="BZ57" i="50"/>
  <c r="BY57" i="50"/>
  <c r="BX57" i="50"/>
  <c r="BW57" i="50"/>
  <c r="BV57" i="50"/>
  <c r="BU57" i="50"/>
  <c r="BT57" i="50"/>
  <c r="BS57" i="50"/>
  <c r="BR57" i="50"/>
  <c r="BQ57" i="50"/>
  <c r="BP57" i="50"/>
  <c r="BO57" i="50"/>
  <c r="BN57" i="50"/>
  <c r="BM57" i="50"/>
  <c r="BL57" i="50"/>
  <c r="BK57" i="50"/>
  <c r="BJ57" i="50"/>
  <c r="BI57" i="50"/>
  <c r="BH57" i="50"/>
  <c r="BG57" i="50"/>
  <c r="BE57" i="50"/>
  <c r="CH56" i="50"/>
  <c r="CG56" i="50"/>
  <c r="CF56" i="50"/>
  <c r="CE56" i="50"/>
  <c r="CD56" i="50"/>
  <c r="CC56" i="50"/>
  <c r="CA56" i="50"/>
  <c r="BZ56" i="50"/>
  <c r="BY56" i="50"/>
  <c r="BX56" i="50"/>
  <c r="BW56" i="50"/>
  <c r="BV56" i="50"/>
  <c r="BU56" i="50"/>
  <c r="BT56" i="50"/>
  <c r="BS56" i="50"/>
  <c r="BR56" i="50"/>
  <c r="BQ56" i="50"/>
  <c r="BP56" i="50"/>
  <c r="BO56" i="50"/>
  <c r="BN56" i="50"/>
  <c r="BM56" i="50"/>
  <c r="BL56" i="50"/>
  <c r="BK56" i="50"/>
  <c r="BJ56" i="50"/>
  <c r="BI56" i="50"/>
  <c r="BH56" i="50"/>
  <c r="BG56" i="50"/>
  <c r="BE56" i="50"/>
  <c r="BD56" i="50"/>
  <c r="BF57" i="50" s="1"/>
  <c r="CH55" i="50"/>
  <c r="CG55" i="50"/>
  <c r="CF55" i="50"/>
  <c r="CE55" i="50"/>
  <c r="CD55" i="50"/>
  <c r="CC55" i="50"/>
  <c r="CA55" i="50"/>
  <c r="BZ55" i="50"/>
  <c r="BY55" i="50"/>
  <c r="BX55" i="50"/>
  <c r="BW55" i="50"/>
  <c r="BV55" i="50"/>
  <c r="BU55" i="50"/>
  <c r="BT55" i="50"/>
  <c r="BS55" i="50"/>
  <c r="BR55" i="50"/>
  <c r="BQ55" i="50"/>
  <c r="BP55" i="50"/>
  <c r="BO55" i="50"/>
  <c r="BN55" i="50"/>
  <c r="BM55" i="50"/>
  <c r="BL55" i="50"/>
  <c r="BK55" i="50"/>
  <c r="BJ55" i="50"/>
  <c r="BI55" i="50"/>
  <c r="BH55" i="50"/>
  <c r="BG55" i="50"/>
  <c r="BE55" i="50"/>
  <c r="BD55" i="50"/>
  <c r="BC55" i="50"/>
  <c r="CH54" i="50"/>
  <c r="CG54" i="50"/>
  <c r="CF54" i="50"/>
  <c r="CE54" i="50"/>
  <c r="CD54" i="50"/>
  <c r="CC54" i="50"/>
  <c r="CA54" i="50"/>
  <c r="BZ54" i="50"/>
  <c r="BY54" i="50"/>
  <c r="BX54" i="50"/>
  <c r="BW54" i="50"/>
  <c r="BV54" i="50"/>
  <c r="BU54" i="50"/>
  <c r="BT54" i="50"/>
  <c r="BS54" i="50"/>
  <c r="BR54" i="50"/>
  <c r="BQ54" i="50"/>
  <c r="BP54" i="50"/>
  <c r="BO54" i="50"/>
  <c r="BN54" i="50"/>
  <c r="BM54" i="50"/>
  <c r="BL54" i="50"/>
  <c r="BK54" i="50"/>
  <c r="BJ54" i="50"/>
  <c r="BI54" i="50"/>
  <c r="BH54" i="50"/>
  <c r="BG54" i="50"/>
  <c r="BE54" i="50"/>
  <c r="BD54" i="50"/>
  <c r="BC54" i="50"/>
  <c r="BB54" i="50"/>
  <c r="CH53" i="50"/>
  <c r="CG53" i="50"/>
  <c r="CF53" i="50"/>
  <c r="CE53" i="50"/>
  <c r="CD53" i="50"/>
  <c r="CC53" i="50"/>
  <c r="CA53" i="50"/>
  <c r="BZ53" i="50"/>
  <c r="BY53" i="50"/>
  <c r="BX53" i="50"/>
  <c r="BW53" i="50"/>
  <c r="BV53" i="50"/>
  <c r="BU53" i="50"/>
  <c r="BT53" i="50"/>
  <c r="BS53" i="50"/>
  <c r="BR53" i="50"/>
  <c r="BQ53" i="50"/>
  <c r="BP53" i="50"/>
  <c r="BO53" i="50"/>
  <c r="BN53" i="50"/>
  <c r="BM53" i="50"/>
  <c r="BL53" i="50"/>
  <c r="BK53" i="50"/>
  <c r="BJ53" i="50"/>
  <c r="BI53" i="50"/>
  <c r="BH53" i="50"/>
  <c r="BG53" i="50"/>
  <c r="BE53" i="50"/>
  <c r="BD53" i="50"/>
  <c r="BC53" i="50"/>
  <c r="BB53" i="50"/>
  <c r="BA53" i="50"/>
  <c r="CH52" i="50"/>
  <c r="CG52" i="50"/>
  <c r="CF52" i="50"/>
  <c r="CE52" i="50"/>
  <c r="CD52" i="50"/>
  <c r="CC52" i="50"/>
  <c r="CA52" i="50"/>
  <c r="BZ52" i="50"/>
  <c r="BY52" i="50"/>
  <c r="BX52" i="50"/>
  <c r="BW52" i="50"/>
  <c r="BV52" i="50"/>
  <c r="BU52" i="50"/>
  <c r="BT52" i="50"/>
  <c r="BS52" i="50"/>
  <c r="BR52" i="50"/>
  <c r="BQ52" i="50"/>
  <c r="BP52" i="50"/>
  <c r="BO52" i="50"/>
  <c r="BN52" i="50"/>
  <c r="BM52" i="50"/>
  <c r="BL52" i="50"/>
  <c r="BK52" i="50"/>
  <c r="BJ52" i="50"/>
  <c r="BI52" i="50"/>
  <c r="BH52" i="50"/>
  <c r="BG52" i="50"/>
  <c r="BE52" i="50"/>
  <c r="BD52" i="50"/>
  <c r="BC52" i="50"/>
  <c r="BB52" i="50"/>
  <c r="BA52" i="50"/>
  <c r="AZ52" i="50"/>
  <c r="CH51" i="50"/>
  <c r="CG51" i="50"/>
  <c r="CF51" i="50"/>
  <c r="CE51" i="50"/>
  <c r="CD51" i="50"/>
  <c r="CC51" i="50"/>
  <c r="CA51" i="50"/>
  <c r="BZ51" i="50"/>
  <c r="BY51" i="50"/>
  <c r="BX51" i="50"/>
  <c r="BW51" i="50"/>
  <c r="BV51" i="50"/>
  <c r="BU51" i="50"/>
  <c r="BT51" i="50"/>
  <c r="BS51" i="50"/>
  <c r="BR51" i="50"/>
  <c r="BQ51" i="50"/>
  <c r="BP51" i="50"/>
  <c r="BO51" i="50"/>
  <c r="BN51" i="50"/>
  <c r="BM51" i="50"/>
  <c r="BL51" i="50"/>
  <c r="BK51" i="50"/>
  <c r="BJ51" i="50"/>
  <c r="BI51" i="50"/>
  <c r="BH51" i="50"/>
  <c r="BG51" i="50"/>
  <c r="BE51" i="50"/>
  <c r="BD51" i="50"/>
  <c r="BC51" i="50"/>
  <c r="BB51" i="50"/>
  <c r="BA51" i="50"/>
  <c r="AZ51" i="50"/>
  <c r="AY51" i="50"/>
  <c r="CH50" i="50"/>
  <c r="CG50" i="50"/>
  <c r="CF50" i="50"/>
  <c r="CE50" i="50"/>
  <c r="CD50" i="50"/>
  <c r="CC50" i="50"/>
  <c r="CA50" i="50"/>
  <c r="BZ50" i="50"/>
  <c r="BY50" i="50"/>
  <c r="BX50" i="50"/>
  <c r="BW50" i="50"/>
  <c r="BV50" i="50"/>
  <c r="BU50" i="50"/>
  <c r="BT50" i="50"/>
  <c r="BS50" i="50"/>
  <c r="BR50" i="50"/>
  <c r="BQ50" i="50"/>
  <c r="BP50" i="50"/>
  <c r="BO50" i="50"/>
  <c r="BN50" i="50"/>
  <c r="BM50" i="50"/>
  <c r="BL50" i="50"/>
  <c r="BK50" i="50"/>
  <c r="BJ50" i="50"/>
  <c r="BI50" i="50"/>
  <c r="BH50" i="50"/>
  <c r="BG50" i="50"/>
  <c r="BE50" i="50"/>
  <c r="BD50" i="50"/>
  <c r="BC50" i="50"/>
  <c r="BB50" i="50"/>
  <c r="BA50" i="50"/>
  <c r="AZ50" i="50"/>
  <c r="AY50" i="50"/>
  <c r="AX50" i="50"/>
  <c r="CH49" i="50"/>
  <c r="CG49" i="50"/>
  <c r="CF49" i="50"/>
  <c r="CE49" i="50"/>
  <c r="CD49" i="50"/>
  <c r="CC49" i="50"/>
  <c r="CA49" i="50"/>
  <c r="BZ49" i="50"/>
  <c r="BY49" i="50"/>
  <c r="BX49" i="50"/>
  <c r="BW49" i="50"/>
  <c r="BV49" i="50"/>
  <c r="BU49" i="50"/>
  <c r="BT49" i="50"/>
  <c r="BS49" i="50"/>
  <c r="BR49" i="50"/>
  <c r="BQ49" i="50"/>
  <c r="BP49" i="50"/>
  <c r="BO49" i="50"/>
  <c r="BN49" i="50"/>
  <c r="BM49" i="50"/>
  <c r="BL49" i="50"/>
  <c r="BK49" i="50"/>
  <c r="BJ49" i="50"/>
  <c r="BI49" i="50"/>
  <c r="BH49" i="50"/>
  <c r="BG49" i="50"/>
  <c r="BE49" i="50"/>
  <c r="BD49" i="50"/>
  <c r="BC49" i="50"/>
  <c r="BB49" i="50"/>
  <c r="BA49" i="50"/>
  <c r="AZ49" i="50"/>
  <c r="AY49" i="50"/>
  <c r="AX49" i="50"/>
  <c r="AW49" i="50"/>
  <c r="CH48" i="50"/>
  <c r="CG48" i="50"/>
  <c r="CF48" i="50"/>
  <c r="CE48" i="50"/>
  <c r="CD48" i="50"/>
  <c r="CC48" i="50"/>
  <c r="CA48" i="50"/>
  <c r="BZ48" i="50"/>
  <c r="BY48" i="50"/>
  <c r="BX48" i="50"/>
  <c r="BW48" i="50"/>
  <c r="BV48" i="50"/>
  <c r="BU48" i="50"/>
  <c r="BT48" i="50"/>
  <c r="BS48" i="50"/>
  <c r="BR48" i="50"/>
  <c r="BQ48" i="50"/>
  <c r="BP48" i="50"/>
  <c r="BO48" i="50"/>
  <c r="BN48" i="50"/>
  <c r="BM48" i="50"/>
  <c r="BL48" i="50"/>
  <c r="BK48" i="50"/>
  <c r="BJ48" i="50"/>
  <c r="BI48" i="50"/>
  <c r="BH48" i="50"/>
  <c r="BG48" i="50"/>
  <c r="BE48" i="50"/>
  <c r="BD48" i="50"/>
  <c r="BC48" i="50"/>
  <c r="BB48" i="50"/>
  <c r="BA48" i="50"/>
  <c r="AZ48" i="50"/>
  <c r="AY48" i="50"/>
  <c r="AX48" i="50"/>
  <c r="AW48" i="50"/>
  <c r="AV48" i="50"/>
  <c r="CH46" i="50"/>
  <c r="CG46" i="50"/>
  <c r="CF46" i="50"/>
  <c r="CE46" i="50"/>
  <c r="CD46" i="50"/>
  <c r="CC46" i="50"/>
  <c r="CA46" i="50"/>
  <c r="BZ46" i="50"/>
  <c r="BY46" i="50"/>
  <c r="BX46" i="50"/>
  <c r="BW46" i="50"/>
  <c r="BV46" i="50"/>
  <c r="BU46" i="50"/>
  <c r="BT46" i="50"/>
  <c r="BS46" i="50"/>
  <c r="BR46" i="50"/>
  <c r="BQ46" i="50"/>
  <c r="BP46" i="50"/>
  <c r="BO46" i="50"/>
  <c r="BN46" i="50"/>
  <c r="BM46" i="50"/>
  <c r="BL46" i="50"/>
  <c r="BK46" i="50"/>
  <c r="BJ46" i="50"/>
  <c r="BI46" i="50"/>
  <c r="BH46" i="50"/>
  <c r="BG46" i="50"/>
  <c r="BE46" i="50"/>
  <c r="BD46" i="50"/>
  <c r="BC46" i="50"/>
  <c r="BB46" i="50"/>
  <c r="BA46" i="50"/>
  <c r="AZ46" i="50"/>
  <c r="AY46" i="50"/>
  <c r="AX46" i="50"/>
  <c r="AW46" i="50"/>
  <c r="AV46" i="50"/>
  <c r="AU46" i="50"/>
  <c r="CH45" i="50"/>
  <c r="CG45" i="50"/>
  <c r="CF45" i="50"/>
  <c r="CE45" i="50"/>
  <c r="CD45" i="50"/>
  <c r="CC45" i="50"/>
  <c r="CA45" i="50"/>
  <c r="BZ45" i="50"/>
  <c r="BY45" i="50"/>
  <c r="BX45" i="50"/>
  <c r="BW45" i="50"/>
  <c r="BV45" i="50"/>
  <c r="BU45" i="50"/>
  <c r="BT45" i="50"/>
  <c r="BS45" i="50"/>
  <c r="BR45" i="50"/>
  <c r="BQ45" i="50"/>
  <c r="BP45" i="50"/>
  <c r="BO45" i="50"/>
  <c r="BN45" i="50"/>
  <c r="BM45" i="50"/>
  <c r="BL45" i="50"/>
  <c r="BK45" i="50"/>
  <c r="BJ45" i="50"/>
  <c r="BI45" i="50"/>
  <c r="BH45" i="50"/>
  <c r="BG45" i="50"/>
  <c r="BE45" i="50"/>
  <c r="BD45" i="50"/>
  <c r="BC45" i="50"/>
  <c r="BB45" i="50"/>
  <c r="BA45" i="50"/>
  <c r="AZ45" i="50"/>
  <c r="AY45" i="50"/>
  <c r="AX45" i="50"/>
  <c r="AW45" i="50"/>
  <c r="AV45" i="50"/>
  <c r="AU45" i="50"/>
  <c r="AS45" i="50"/>
  <c r="CH44" i="50"/>
  <c r="CG44" i="50"/>
  <c r="CF44" i="50"/>
  <c r="CE44" i="50"/>
  <c r="CD44" i="50"/>
  <c r="CC44" i="50"/>
  <c r="CA44" i="50"/>
  <c r="BZ44" i="50"/>
  <c r="BY44" i="50"/>
  <c r="BX44" i="50"/>
  <c r="BW44" i="50"/>
  <c r="BV44" i="50"/>
  <c r="BU44" i="50"/>
  <c r="BT44" i="50"/>
  <c r="BS44" i="50"/>
  <c r="BR44" i="50"/>
  <c r="BQ44" i="50"/>
  <c r="BP44" i="50"/>
  <c r="BO44" i="50"/>
  <c r="BN44" i="50"/>
  <c r="BM44" i="50"/>
  <c r="BL44" i="50"/>
  <c r="BK44" i="50"/>
  <c r="BJ44" i="50"/>
  <c r="BI44" i="50"/>
  <c r="BH44" i="50"/>
  <c r="BG44" i="50"/>
  <c r="BE44" i="50"/>
  <c r="BD44" i="50"/>
  <c r="BC44" i="50"/>
  <c r="BB44" i="50"/>
  <c r="BA44" i="50"/>
  <c r="AZ44" i="50"/>
  <c r="AY44" i="50"/>
  <c r="AX44" i="50"/>
  <c r="AW44" i="50"/>
  <c r="AV44" i="50"/>
  <c r="AU44" i="50"/>
  <c r="AS44" i="50"/>
  <c r="AR44" i="50"/>
  <c r="CH43" i="50"/>
  <c r="CG43" i="50"/>
  <c r="CF43" i="50"/>
  <c r="CE43" i="50"/>
  <c r="CD43" i="50"/>
  <c r="CC43" i="50"/>
  <c r="CA43" i="50"/>
  <c r="BZ43" i="50"/>
  <c r="BY43" i="50"/>
  <c r="BX43" i="50"/>
  <c r="BW43" i="50"/>
  <c r="BV43" i="50"/>
  <c r="BU43" i="50"/>
  <c r="BT43" i="50"/>
  <c r="BS43" i="50"/>
  <c r="BR43" i="50"/>
  <c r="BQ43" i="50"/>
  <c r="BP43" i="50"/>
  <c r="BO43" i="50"/>
  <c r="BN43" i="50"/>
  <c r="BM43" i="50"/>
  <c r="BL43" i="50"/>
  <c r="BK43" i="50"/>
  <c r="BJ43" i="50"/>
  <c r="BI43" i="50"/>
  <c r="BH43" i="50"/>
  <c r="BG43" i="50"/>
  <c r="BE43" i="50"/>
  <c r="BD43" i="50"/>
  <c r="BC43" i="50"/>
  <c r="BB43" i="50"/>
  <c r="BA43" i="50"/>
  <c r="AZ43" i="50"/>
  <c r="AY43" i="50"/>
  <c r="AX43" i="50"/>
  <c r="AW43" i="50"/>
  <c r="AV43" i="50"/>
  <c r="AU43" i="50"/>
  <c r="AS43" i="50"/>
  <c r="AR43" i="50"/>
  <c r="AQ43" i="50"/>
  <c r="CH42" i="50"/>
  <c r="CG42" i="50"/>
  <c r="CF42" i="50"/>
  <c r="CE42" i="50"/>
  <c r="CD42" i="50"/>
  <c r="CC42" i="50"/>
  <c r="CA42" i="50"/>
  <c r="BZ42" i="50"/>
  <c r="BY42" i="50"/>
  <c r="BX42" i="50"/>
  <c r="BW42" i="50"/>
  <c r="BV42" i="50"/>
  <c r="BU42" i="50"/>
  <c r="BT42" i="50"/>
  <c r="BS42" i="50"/>
  <c r="BR42" i="50"/>
  <c r="BQ42" i="50"/>
  <c r="BP42" i="50"/>
  <c r="BO42" i="50"/>
  <c r="BN42" i="50"/>
  <c r="BM42" i="50"/>
  <c r="BL42" i="50"/>
  <c r="BK42" i="50"/>
  <c r="BJ42" i="50"/>
  <c r="BI42" i="50"/>
  <c r="BH42" i="50"/>
  <c r="BG42" i="50"/>
  <c r="BE42" i="50"/>
  <c r="BD42" i="50"/>
  <c r="BC42" i="50"/>
  <c r="BB42" i="50"/>
  <c r="BA42" i="50"/>
  <c r="AZ42" i="50"/>
  <c r="AY42" i="50"/>
  <c r="AX42" i="50"/>
  <c r="AW42" i="50"/>
  <c r="AV42" i="50"/>
  <c r="AU42" i="50"/>
  <c r="AS42" i="50"/>
  <c r="AR42" i="50"/>
  <c r="AQ42" i="50"/>
  <c r="AP42" i="50"/>
  <c r="CH41" i="50"/>
  <c r="CG41" i="50"/>
  <c r="CF41" i="50"/>
  <c r="CE41" i="50"/>
  <c r="CD41" i="50"/>
  <c r="CC41" i="50"/>
  <c r="CA41" i="50"/>
  <c r="BZ41" i="50"/>
  <c r="BY41" i="50"/>
  <c r="BX41" i="50"/>
  <c r="BW41" i="50"/>
  <c r="BV41" i="50"/>
  <c r="BU41" i="50"/>
  <c r="BT41" i="50"/>
  <c r="BS41" i="50"/>
  <c r="BR41" i="50"/>
  <c r="BQ41" i="50"/>
  <c r="BP41" i="50"/>
  <c r="BO41" i="50"/>
  <c r="BN41" i="50"/>
  <c r="BM41" i="50"/>
  <c r="BL41" i="50"/>
  <c r="BK41" i="50"/>
  <c r="BJ41" i="50"/>
  <c r="BI41" i="50"/>
  <c r="BH41" i="50"/>
  <c r="BG41" i="50"/>
  <c r="BE41" i="50"/>
  <c r="BD41" i="50"/>
  <c r="BC41" i="50"/>
  <c r="BB41" i="50"/>
  <c r="BA41" i="50"/>
  <c r="AZ41" i="50"/>
  <c r="AY41" i="50"/>
  <c r="AX41" i="50"/>
  <c r="AW41" i="50"/>
  <c r="AV41" i="50"/>
  <c r="AU41" i="50"/>
  <c r="AS41" i="50"/>
  <c r="AR41" i="50"/>
  <c r="AQ41" i="50"/>
  <c r="AP41" i="50"/>
  <c r="AO41" i="50"/>
  <c r="CH40" i="50"/>
  <c r="CG40" i="50"/>
  <c r="CF40" i="50"/>
  <c r="CE40" i="50"/>
  <c r="CD40" i="50"/>
  <c r="CC40" i="50"/>
  <c r="CA40" i="50"/>
  <c r="BZ40" i="50"/>
  <c r="BY40" i="50"/>
  <c r="BX40" i="50"/>
  <c r="BW40" i="50"/>
  <c r="BV40" i="50"/>
  <c r="BU40" i="50"/>
  <c r="BT40" i="50"/>
  <c r="BS40" i="50"/>
  <c r="BR40" i="50"/>
  <c r="BQ40" i="50"/>
  <c r="BP40" i="50"/>
  <c r="BO40" i="50"/>
  <c r="BN40" i="50"/>
  <c r="BM40" i="50"/>
  <c r="BL40" i="50"/>
  <c r="BK40" i="50"/>
  <c r="BJ40" i="50"/>
  <c r="BI40" i="50"/>
  <c r="BH40" i="50"/>
  <c r="BG40" i="50"/>
  <c r="BE40" i="50"/>
  <c r="BD40" i="50"/>
  <c r="BC40" i="50"/>
  <c r="BB40" i="50"/>
  <c r="BA40" i="50"/>
  <c r="AZ40" i="50"/>
  <c r="AY40" i="50"/>
  <c r="AX40" i="50"/>
  <c r="AW40" i="50"/>
  <c r="AV40" i="50"/>
  <c r="AU40" i="50"/>
  <c r="AS40" i="50"/>
  <c r="AR40" i="50"/>
  <c r="AQ40" i="50"/>
  <c r="AP40" i="50"/>
  <c r="AO40" i="50"/>
  <c r="AN40" i="50"/>
  <c r="CH39" i="50"/>
  <c r="CG39" i="50"/>
  <c r="CF39" i="50"/>
  <c r="CE39" i="50"/>
  <c r="CD39" i="50"/>
  <c r="CC39" i="50"/>
  <c r="CA39" i="50"/>
  <c r="BZ39" i="50"/>
  <c r="BY39" i="50"/>
  <c r="BX39" i="50"/>
  <c r="BW39" i="50"/>
  <c r="BV39" i="50"/>
  <c r="BU39" i="50"/>
  <c r="BT39" i="50"/>
  <c r="BS39" i="50"/>
  <c r="BR39" i="50"/>
  <c r="BQ39" i="50"/>
  <c r="BP39" i="50"/>
  <c r="BO39" i="50"/>
  <c r="BN39" i="50"/>
  <c r="BM39" i="50"/>
  <c r="BL39" i="50"/>
  <c r="BK39" i="50"/>
  <c r="BJ39" i="50"/>
  <c r="BI39" i="50"/>
  <c r="BH39" i="50"/>
  <c r="BG39" i="50"/>
  <c r="BE39" i="50"/>
  <c r="BD39" i="50"/>
  <c r="BC39" i="50"/>
  <c r="BB39" i="50"/>
  <c r="BA39" i="50"/>
  <c r="AZ39" i="50"/>
  <c r="AY39" i="50"/>
  <c r="AX39" i="50"/>
  <c r="AW39" i="50"/>
  <c r="AV39" i="50"/>
  <c r="AU39" i="50"/>
  <c r="AS39" i="50"/>
  <c r="AR39" i="50"/>
  <c r="AQ39" i="50"/>
  <c r="AP39" i="50"/>
  <c r="AO39" i="50"/>
  <c r="AN39" i="50"/>
  <c r="AM39" i="50"/>
  <c r="CH38" i="50"/>
  <c r="CG38" i="50"/>
  <c r="CF38" i="50"/>
  <c r="CE38" i="50"/>
  <c r="CD38" i="50"/>
  <c r="CC38" i="50"/>
  <c r="CA38" i="50"/>
  <c r="BZ38" i="50"/>
  <c r="BY38" i="50"/>
  <c r="BX38" i="50"/>
  <c r="BW38" i="50"/>
  <c r="BV38" i="50"/>
  <c r="BU38" i="50"/>
  <c r="BT38" i="50"/>
  <c r="BS38" i="50"/>
  <c r="BR38" i="50"/>
  <c r="BQ38" i="50"/>
  <c r="BP38" i="50"/>
  <c r="BO38" i="50"/>
  <c r="BN38" i="50"/>
  <c r="BM38" i="50"/>
  <c r="BL38" i="50"/>
  <c r="BK38" i="50"/>
  <c r="BJ38" i="50"/>
  <c r="BI38" i="50"/>
  <c r="BH38" i="50"/>
  <c r="BG38" i="50"/>
  <c r="BE38" i="50"/>
  <c r="BD38" i="50"/>
  <c r="BC38" i="50"/>
  <c r="BB38" i="50"/>
  <c r="BA38" i="50"/>
  <c r="AZ38" i="50"/>
  <c r="AY38" i="50"/>
  <c r="AX38" i="50"/>
  <c r="AW38" i="50"/>
  <c r="AV38" i="50"/>
  <c r="AU38" i="50"/>
  <c r="AS38" i="50"/>
  <c r="AR38" i="50"/>
  <c r="AQ38" i="50"/>
  <c r="AP38" i="50"/>
  <c r="AO38" i="50"/>
  <c r="AN38" i="50"/>
  <c r="AM38" i="50"/>
  <c r="AL38" i="50"/>
  <c r="CH37" i="50"/>
  <c r="CG37" i="50"/>
  <c r="CF37" i="50"/>
  <c r="CE37" i="50"/>
  <c r="CD37" i="50"/>
  <c r="CC37" i="50"/>
  <c r="CA37" i="50"/>
  <c r="BZ37" i="50"/>
  <c r="BY37" i="50"/>
  <c r="BX37" i="50"/>
  <c r="BW37" i="50"/>
  <c r="BV37" i="50"/>
  <c r="BU37" i="50"/>
  <c r="BT37" i="50"/>
  <c r="BS37" i="50"/>
  <c r="BR37" i="50"/>
  <c r="BQ37" i="50"/>
  <c r="BP37" i="50"/>
  <c r="BO37" i="50"/>
  <c r="BN37" i="50"/>
  <c r="BM37" i="50"/>
  <c r="BL37" i="50"/>
  <c r="BK37" i="50"/>
  <c r="BJ37" i="50"/>
  <c r="BI37" i="50"/>
  <c r="BH37" i="50"/>
  <c r="BG37" i="50"/>
  <c r="BE37" i="50"/>
  <c r="BD37" i="50"/>
  <c r="BC37" i="50"/>
  <c r="BB37" i="50"/>
  <c r="BA37" i="50"/>
  <c r="AZ37" i="50"/>
  <c r="AY37" i="50"/>
  <c r="AX37" i="50"/>
  <c r="AW37" i="50"/>
  <c r="AV37" i="50"/>
  <c r="AU37" i="50"/>
  <c r="AS37" i="50"/>
  <c r="AR37" i="50"/>
  <c r="AQ37" i="50"/>
  <c r="AP37" i="50"/>
  <c r="AO37" i="50"/>
  <c r="AN37" i="50"/>
  <c r="AM37" i="50"/>
  <c r="AL37" i="50"/>
  <c r="AK37" i="50"/>
  <c r="CH36" i="50"/>
  <c r="CG36" i="50"/>
  <c r="CF36" i="50"/>
  <c r="CE36" i="50"/>
  <c r="CD36" i="50"/>
  <c r="CC36" i="50"/>
  <c r="CA36" i="50"/>
  <c r="BZ36" i="50"/>
  <c r="BY36" i="50"/>
  <c r="BX36" i="50"/>
  <c r="BW36" i="50"/>
  <c r="BV36" i="50"/>
  <c r="BU36" i="50"/>
  <c r="BT36" i="50"/>
  <c r="BS36" i="50"/>
  <c r="BR36" i="50"/>
  <c r="BQ36" i="50"/>
  <c r="BP36" i="50"/>
  <c r="BO36" i="50"/>
  <c r="BN36" i="50"/>
  <c r="BM36" i="50"/>
  <c r="BL36" i="50"/>
  <c r="BK36" i="50"/>
  <c r="BJ36" i="50"/>
  <c r="BI36" i="50"/>
  <c r="BH36" i="50"/>
  <c r="BG36" i="50"/>
  <c r="BE36" i="50"/>
  <c r="BD36" i="50"/>
  <c r="BC36" i="50"/>
  <c r="BB36" i="50"/>
  <c r="BA36" i="50"/>
  <c r="AZ36" i="50"/>
  <c r="AY36" i="50"/>
  <c r="AX36" i="50"/>
  <c r="AW36" i="50"/>
  <c r="AV36" i="50"/>
  <c r="AU36" i="50"/>
  <c r="AS36" i="50"/>
  <c r="AR36" i="50"/>
  <c r="AQ36" i="50"/>
  <c r="AP36" i="50"/>
  <c r="AO36" i="50"/>
  <c r="AN36" i="50"/>
  <c r="AM36" i="50"/>
  <c r="AL36" i="50"/>
  <c r="AK36" i="50"/>
  <c r="AJ36" i="50"/>
  <c r="CH35" i="50"/>
  <c r="CG35" i="50"/>
  <c r="CF35" i="50"/>
  <c r="CE35" i="50"/>
  <c r="CD35" i="50"/>
  <c r="CC35" i="50"/>
  <c r="CA35" i="50"/>
  <c r="BZ35" i="50"/>
  <c r="BY35" i="50"/>
  <c r="BX35" i="50"/>
  <c r="BW35" i="50"/>
  <c r="BV35" i="50"/>
  <c r="BU35" i="50"/>
  <c r="BT35" i="50"/>
  <c r="BS35" i="50"/>
  <c r="BR35" i="50"/>
  <c r="BQ35" i="50"/>
  <c r="BP35" i="50"/>
  <c r="BO35" i="50"/>
  <c r="BN35" i="50"/>
  <c r="BM35" i="50"/>
  <c r="BL35" i="50"/>
  <c r="BK35" i="50"/>
  <c r="BJ35" i="50"/>
  <c r="BI35" i="50"/>
  <c r="BH35" i="50"/>
  <c r="BG35" i="50"/>
  <c r="BE35" i="50"/>
  <c r="BD35" i="50"/>
  <c r="BC35" i="50"/>
  <c r="BB35" i="50"/>
  <c r="BA35" i="50"/>
  <c r="AZ35" i="50"/>
  <c r="AY35" i="50"/>
  <c r="AX35" i="50"/>
  <c r="AW35" i="50"/>
  <c r="AV35" i="50"/>
  <c r="AU35" i="50"/>
  <c r="AS35" i="50"/>
  <c r="AR35" i="50"/>
  <c r="AQ35" i="50"/>
  <c r="AP35" i="50"/>
  <c r="AO35" i="50"/>
  <c r="AN35" i="50"/>
  <c r="AM35" i="50"/>
  <c r="AL35" i="50"/>
  <c r="AK35" i="50"/>
  <c r="AJ35" i="50"/>
  <c r="AI35" i="50"/>
  <c r="CH34" i="50"/>
  <c r="CG34" i="50"/>
  <c r="CF34" i="50"/>
  <c r="CE34" i="50"/>
  <c r="CD34" i="50"/>
  <c r="CC34" i="50"/>
  <c r="CA34" i="50"/>
  <c r="BZ34" i="50"/>
  <c r="BY34" i="50"/>
  <c r="BX34" i="50"/>
  <c r="BW34" i="50"/>
  <c r="BV34" i="50"/>
  <c r="BU34" i="50"/>
  <c r="BT34" i="50"/>
  <c r="BS34" i="50"/>
  <c r="BR34" i="50"/>
  <c r="BQ34" i="50"/>
  <c r="BP34" i="50"/>
  <c r="BO34" i="50"/>
  <c r="BN34" i="50"/>
  <c r="BM34" i="50"/>
  <c r="BL34" i="50"/>
  <c r="BK34" i="50"/>
  <c r="BJ34" i="50"/>
  <c r="BI34" i="50"/>
  <c r="BH34" i="50"/>
  <c r="BG34" i="50"/>
  <c r="BE34" i="50"/>
  <c r="BD34" i="50"/>
  <c r="BC34" i="50"/>
  <c r="BB34" i="50"/>
  <c r="BA34" i="50"/>
  <c r="AZ34" i="50"/>
  <c r="AY34" i="50"/>
  <c r="AX34" i="50"/>
  <c r="AW34" i="50"/>
  <c r="AV34" i="50"/>
  <c r="AU34" i="50"/>
  <c r="AS34" i="50"/>
  <c r="AR34" i="50"/>
  <c r="AQ34" i="50"/>
  <c r="AP34" i="50"/>
  <c r="AO34" i="50"/>
  <c r="AN34" i="50"/>
  <c r="AM34" i="50"/>
  <c r="AL34" i="50"/>
  <c r="AK34" i="50"/>
  <c r="AJ34" i="50"/>
  <c r="AI34" i="50"/>
  <c r="AH34" i="50"/>
  <c r="CH33" i="50"/>
  <c r="CG33" i="50"/>
  <c r="CF33" i="50"/>
  <c r="CE33" i="50"/>
  <c r="CD33" i="50"/>
  <c r="CC33" i="50"/>
  <c r="CA33" i="50"/>
  <c r="BZ33" i="50"/>
  <c r="BY33" i="50"/>
  <c r="BX33" i="50"/>
  <c r="BW33" i="50"/>
  <c r="BV33" i="50"/>
  <c r="BU33" i="50"/>
  <c r="BT33" i="50"/>
  <c r="BS33" i="50"/>
  <c r="BR33" i="50"/>
  <c r="BQ33" i="50"/>
  <c r="BP33" i="50"/>
  <c r="BO33" i="50"/>
  <c r="BN33" i="50"/>
  <c r="BM33" i="50"/>
  <c r="BL33" i="50"/>
  <c r="BK33" i="50"/>
  <c r="BJ33" i="50"/>
  <c r="BI33" i="50"/>
  <c r="BH33" i="50"/>
  <c r="BG33" i="50"/>
  <c r="BE33" i="50"/>
  <c r="BD33" i="50"/>
  <c r="BC33" i="50"/>
  <c r="BB33" i="50"/>
  <c r="BA33" i="50"/>
  <c r="AZ33" i="50"/>
  <c r="AY33" i="50"/>
  <c r="AX33" i="50"/>
  <c r="AW33" i="50"/>
  <c r="AV33" i="50"/>
  <c r="AU33" i="50"/>
  <c r="AS33" i="50"/>
  <c r="AR33" i="50"/>
  <c r="AQ33" i="50"/>
  <c r="AP33" i="50"/>
  <c r="AO33" i="50"/>
  <c r="AN33" i="50"/>
  <c r="AM33" i="50"/>
  <c r="AL33" i="50"/>
  <c r="AK33" i="50"/>
  <c r="AJ33" i="50"/>
  <c r="AI33" i="50"/>
  <c r="AH33" i="50"/>
  <c r="AG33" i="50"/>
  <c r="CH30" i="50"/>
  <c r="CG30" i="50"/>
  <c r="CF30" i="50"/>
  <c r="CE30" i="50"/>
  <c r="CD30" i="50"/>
  <c r="CC30" i="50"/>
  <c r="CA30" i="50"/>
  <c r="BZ30" i="50"/>
  <c r="BY30" i="50"/>
  <c r="BX30" i="50"/>
  <c r="BW30" i="50"/>
  <c r="BV30" i="50"/>
  <c r="BU30" i="50"/>
  <c r="BT30" i="50"/>
  <c r="BS30" i="50"/>
  <c r="BR30" i="50"/>
  <c r="BQ30" i="50"/>
  <c r="BP30" i="50"/>
  <c r="BO30" i="50"/>
  <c r="BN30" i="50"/>
  <c r="BM30" i="50"/>
  <c r="BL30" i="50"/>
  <c r="BK30" i="50"/>
  <c r="BJ30" i="50"/>
  <c r="BI30" i="50"/>
  <c r="BH30" i="50"/>
  <c r="BG30" i="50"/>
  <c r="BE30" i="50"/>
  <c r="BD30" i="50"/>
  <c r="BC30" i="50"/>
  <c r="BB30" i="50"/>
  <c r="BA30" i="50"/>
  <c r="AZ30" i="50"/>
  <c r="AY30" i="50"/>
  <c r="AX30" i="50"/>
  <c r="AW30" i="50"/>
  <c r="AV30" i="50"/>
  <c r="AU30" i="50"/>
  <c r="AS30" i="50"/>
  <c r="AR30" i="50"/>
  <c r="AQ30" i="50"/>
  <c r="AP30" i="50"/>
  <c r="AO30" i="50"/>
  <c r="AN30" i="50"/>
  <c r="AM30" i="50"/>
  <c r="AL30" i="50"/>
  <c r="AK30" i="50"/>
  <c r="AJ30" i="50"/>
  <c r="AI30" i="50"/>
  <c r="AH30" i="50"/>
  <c r="AG30" i="50"/>
  <c r="AF30" i="50"/>
  <c r="CH29" i="50"/>
  <c r="CG29" i="50"/>
  <c r="CF29" i="50"/>
  <c r="CE29" i="50"/>
  <c r="CD29" i="50"/>
  <c r="CC29" i="50"/>
  <c r="CA29" i="50"/>
  <c r="BZ29" i="50"/>
  <c r="BY29" i="50"/>
  <c r="BX29" i="50"/>
  <c r="BW29" i="50"/>
  <c r="BV29" i="50"/>
  <c r="BU29" i="50"/>
  <c r="BT29" i="50"/>
  <c r="BS29" i="50"/>
  <c r="BR29" i="50"/>
  <c r="BQ29" i="50"/>
  <c r="BP29" i="50"/>
  <c r="BO29" i="50"/>
  <c r="BN29" i="50"/>
  <c r="BM29" i="50"/>
  <c r="BL29" i="50"/>
  <c r="BK29" i="50"/>
  <c r="BJ29" i="50"/>
  <c r="BI29" i="50"/>
  <c r="BH29" i="50"/>
  <c r="BG29" i="50"/>
  <c r="BE29" i="50"/>
  <c r="BD29" i="50"/>
  <c r="BC29" i="50"/>
  <c r="BB29" i="50"/>
  <c r="BA29" i="50"/>
  <c r="AZ29" i="50"/>
  <c r="AY29" i="50"/>
  <c r="AX29" i="50"/>
  <c r="AW29" i="50"/>
  <c r="AV29" i="50"/>
  <c r="AU29" i="50"/>
  <c r="AS29" i="50"/>
  <c r="AR29" i="50"/>
  <c r="AQ29" i="50"/>
  <c r="AP29" i="50"/>
  <c r="AO29" i="50"/>
  <c r="AN29" i="50"/>
  <c r="AM29" i="50"/>
  <c r="AL29" i="50"/>
  <c r="AK29" i="50"/>
  <c r="AJ29" i="50"/>
  <c r="AI29" i="50"/>
  <c r="AH29" i="50"/>
  <c r="AG29" i="50"/>
  <c r="AF29" i="50"/>
  <c r="AC29" i="50"/>
  <c r="CH28" i="50"/>
  <c r="CG28" i="50"/>
  <c r="CF28" i="50"/>
  <c r="CE28" i="50"/>
  <c r="CD28" i="50"/>
  <c r="CC28" i="50"/>
  <c r="CA28" i="50"/>
  <c r="BZ28" i="50"/>
  <c r="BY28" i="50"/>
  <c r="BX28" i="50"/>
  <c r="BW28" i="50"/>
  <c r="BV28" i="50"/>
  <c r="BU28" i="50"/>
  <c r="BT28" i="50"/>
  <c r="BS28" i="50"/>
  <c r="BR28" i="50"/>
  <c r="BQ28" i="50"/>
  <c r="BP28" i="50"/>
  <c r="BO28" i="50"/>
  <c r="BN28" i="50"/>
  <c r="BM28" i="50"/>
  <c r="BL28" i="50"/>
  <c r="BK28" i="50"/>
  <c r="BJ28" i="50"/>
  <c r="BI28" i="50"/>
  <c r="BH28" i="50"/>
  <c r="BG28" i="50"/>
  <c r="BE28" i="50"/>
  <c r="BD28" i="50"/>
  <c r="BC28" i="50"/>
  <c r="BB28" i="50"/>
  <c r="BA28" i="50"/>
  <c r="AZ28" i="50"/>
  <c r="AY28" i="50"/>
  <c r="AX28" i="50"/>
  <c r="AW28" i="50"/>
  <c r="AV28" i="50"/>
  <c r="AU28" i="50"/>
  <c r="AS28" i="50"/>
  <c r="AR28" i="50"/>
  <c r="AQ28" i="50"/>
  <c r="AP28" i="50"/>
  <c r="AO28" i="50"/>
  <c r="AN28" i="50"/>
  <c r="AM28" i="50"/>
  <c r="AL28" i="50"/>
  <c r="AK28" i="50"/>
  <c r="AJ28" i="50"/>
  <c r="AI28" i="50"/>
  <c r="AH28" i="50"/>
  <c r="AG28" i="50"/>
  <c r="AF28" i="50"/>
  <c r="AC28" i="50"/>
  <c r="AB28" i="50"/>
  <c r="CH27" i="50"/>
  <c r="CG27" i="50"/>
  <c r="CF27" i="50"/>
  <c r="CE27" i="50"/>
  <c r="CD27" i="50"/>
  <c r="CC27" i="50"/>
  <c r="CA27" i="50"/>
  <c r="BZ27" i="50"/>
  <c r="BY27" i="50"/>
  <c r="BX27" i="50"/>
  <c r="BW27" i="50"/>
  <c r="BV27" i="50"/>
  <c r="BU27" i="50"/>
  <c r="BT27" i="50"/>
  <c r="BS27" i="50"/>
  <c r="BR27" i="50"/>
  <c r="BQ27" i="50"/>
  <c r="BP27" i="50"/>
  <c r="BO27" i="50"/>
  <c r="BN27" i="50"/>
  <c r="BM27" i="50"/>
  <c r="BL27" i="50"/>
  <c r="BK27" i="50"/>
  <c r="BJ27" i="50"/>
  <c r="BI27" i="50"/>
  <c r="BH27" i="50"/>
  <c r="BG27" i="50"/>
  <c r="BE27" i="50"/>
  <c r="BD27" i="50"/>
  <c r="BC27" i="50"/>
  <c r="BB27" i="50"/>
  <c r="BA27" i="50"/>
  <c r="AZ27" i="50"/>
  <c r="AY27" i="50"/>
  <c r="AX27" i="50"/>
  <c r="AW27" i="50"/>
  <c r="AV27" i="50"/>
  <c r="AU27" i="50"/>
  <c r="AS27" i="50"/>
  <c r="AR27" i="50"/>
  <c r="AQ27" i="50"/>
  <c r="AP27" i="50"/>
  <c r="AO27" i="50"/>
  <c r="AN27" i="50"/>
  <c r="AM27" i="50"/>
  <c r="AL27" i="50"/>
  <c r="AK27" i="50"/>
  <c r="AJ27" i="50"/>
  <c r="AI27" i="50"/>
  <c r="AH27" i="50"/>
  <c r="AG27" i="50"/>
  <c r="AF27" i="50"/>
  <c r="AC27" i="50"/>
  <c r="AB27" i="50"/>
  <c r="AA27" i="50"/>
  <c r="CH26" i="50"/>
  <c r="CG26" i="50"/>
  <c r="CF26" i="50"/>
  <c r="CE26" i="50"/>
  <c r="CD26" i="50"/>
  <c r="CC26" i="50"/>
  <c r="CA26" i="50"/>
  <c r="BZ26" i="50"/>
  <c r="BY26" i="50"/>
  <c r="BX26" i="50"/>
  <c r="BW26" i="50"/>
  <c r="BV26" i="50"/>
  <c r="BU26" i="50"/>
  <c r="BT26" i="50"/>
  <c r="BS26" i="50"/>
  <c r="BR26" i="50"/>
  <c r="BQ26" i="50"/>
  <c r="BP26" i="50"/>
  <c r="BO26" i="50"/>
  <c r="BN26" i="50"/>
  <c r="BM26" i="50"/>
  <c r="BL26" i="50"/>
  <c r="BK26" i="50"/>
  <c r="BJ26" i="50"/>
  <c r="BI26" i="50"/>
  <c r="BH26" i="50"/>
  <c r="BG26" i="50"/>
  <c r="BE26" i="50"/>
  <c r="BD26" i="50"/>
  <c r="BC26" i="50"/>
  <c r="BB26" i="50"/>
  <c r="BA26" i="50"/>
  <c r="AZ26" i="50"/>
  <c r="AY26" i="50"/>
  <c r="AX26" i="50"/>
  <c r="AW26" i="50"/>
  <c r="AV26" i="50"/>
  <c r="AU26" i="50"/>
  <c r="AS26" i="50"/>
  <c r="AR26" i="50"/>
  <c r="AQ26" i="50"/>
  <c r="AP26" i="50"/>
  <c r="AO26" i="50"/>
  <c r="AN26" i="50"/>
  <c r="AM26" i="50"/>
  <c r="AL26" i="50"/>
  <c r="AK26" i="50"/>
  <c r="AJ26" i="50"/>
  <c r="AI26" i="50"/>
  <c r="AH26" i="50"/>
  <c r="AG26" i="50"/>
  <c r="AF26" i="50"/>
  <c r="AC26" i="50"/>
  <c r="AB26" i="50"/>
  <c r="AA26" i="50"/>
  <c r="Z26" i="50"/>
  <c r="CH25" i="50"/>
  <c r="CG25" i="50"/>
  <c r="CF25" i="50"/>
  <c r="CE25" i="50"/>
  <c r="CD25" i="50"/>
  <c r="CC25" i="50"/>
  <c r="CA25" i="50"/>
  <c r="BZ25" i="50"/>
  <c r="BY25" i="50"/>
  <c r="BX25" i="50"/>
  <c r="BW25" i="50"/>
  <c r="BV25" i="50"/>
  <c r="BU25" i="50"/>
  <c r="BT25" i="50"/>
  <c r="BS25" i="50"/>
  <c r="BR25" i="50"/>
  <c r="BQ25" i="50"/>
  <c r="BP25" i="50"/>
  <c r="BO25" i="50"/>
  <c r="BN25" i="50"/>
  <c r="BM25" i="50"/>
  <c r="BL25" i="50"/>
  <c r="BK25" i="50"/>
  <c r="BJ25" i="50"/>
  <c r="BI25" i="50"/>
  <c r="BH25" i="50"/>
  <c r="BG25" i="50"/>
  <c r="BE25" i="50"/>
  <c r="BD25" i="50"/>
  <c r="BC25" i="50"/>
  <c r="BB25" i="50"/>
  <c r="BA25" i="50"/>
  <c r="AZ25" i="50"/>
  <c r="AY25" i="50"/>
  <c r="AX25" i="50"/>
  <c r="AW25" i="50"/>
  <c r="AV25" i="50"/>
  <c r="AU25" i="50"/>
  <c r="AS25" i="50"/>
  <c r="AR25" i="50"/>
  <c r="AQ25" i="50"/>
  <c r="AP25" i="50"/>
  <c r="AO25" i="50"/>
  <c r="AN25" i="50"/>
  <c r="AM25" i="50"/>
  <c r="AL25" i="50"/>
  <c r="AK25" i="50"/>
  <c r="AJ25" i="50"/>
  <c r="AI25" i="50"/>
  <c r="AH25" i="50"/>
  <c r="AG25" i="50"/>
  <c r="AF25" i="50"/>
  <c r="AC25" i="50"/>
  <c r="AB25" i="50"/>
  <c r="AA25" i="50"/>
  <c r="Z25" i="50"/>
  <c r="Y25" i="50"/>
  <c r="CH24" i="50"/>
  <c r="CG24" i="50"/>
  <c r="CF24" i="50"/>
  <c r="CE24" i="50"/>
  <c r="CD24" i="50"/>
  <c r="CC24" i="50"/>
  <c r="CA24" i="50"/>
  <c r="BZ24" i="50"/>
  <c r="BY24" i="50"/>
  <c r="BX24" i="50"/>
  <c r="BW24" i="50"/>
  <c r="BV24" i="50"/>
  <c r="BU24" i="50"/>
  <c r="BT24" i="50"/>
  <c r="BS24" i="50"/>
  <c r="BR24" i="50"/>
  <c r="BQ24" i="50"/>
  <c r="BP24" i="50"/>
  <c r="BO24" i="50"/>
  <c r="BN24" i="50"/>
  <c r="BM24" i="50"/>
  <c r="BL24" i="50"/>
  <c r="BK24" i="50"/>
  <c r="BJ24" i="50"/>
  <c r="BI24" i="50"/>
  <c r="BH24" i="50"/>
  <c r="BG24" i="50"/>
  <c r="BE24" i="50"/>
  <c r="BD24" i="50"/>
  <c r="BC24" i="50"/>
  <c r="BB24" i="50"/>
  <c r="BA24" i="50"/>
  <c r="AZ24" i="50"/>
  <c r="AY24" i="50"/>
  <c r="AX24" i="50"/>
  <c r="AW24" i="50"/>
  <c r="AV24" i="50"/>
  <c r="AU24" i="50"/>
  <c r="AS24" i="50"/>
  <c r="AR24" i="50"/>
  <c r="AQ24" i="50"/>
  <c r="AP24" i="50"/>
  <c r="AO24" i="50"/>
  <c r="AN24" i="50"/>
  <c r="AM24" i="50"/>
  <c r="AL24" i="50"/>
  <c r="AK24" i="50"/>
  <c r="AJ24" i="50"/>
  <c r="AI24" i="50"/>
  <c r="AH24" i="50"/>
  <c r="AG24" i="50"/>
  <c r="AF24" i="50"/>
  <c r="AC24" i="50"/>
  <c r="AB24" i="50"/>
  <c r="AA24" i="50"/>
  <c r="Z24" i="50"/>
  <c r="Y24" i="50"/>
  <c r="X24" i="50"/>
  <c r="CH22" i="50"/>
  <c r="CG22" i="50"/>
  <c r="CF22" i="50"/>
  <c r="CE22" i="50"/>
  <c r="CD22" i="50"/>
  <c r="CC22" i="50"/>
  <c r="CA22" i="50"/>
  <c r="BZ22" i="50"/>
  <c r="BY22" i="50"/>
  <c r="BX22" i="50"/>
  <c r="BW22" i="50"/>
  <c r="BV22" i="50"/>
  <c r="BU22" i="50"/>
  <c r="BT22" i="50"/>
  <c r="BS22" i="50"/>
  <c r="BR22" i="50"/>
  <c r="BQ22" i="50"/>
  <c r="BP22" i="50"/>
  <c r="BO22" i="50"/>
  <c r="BN22" i="50"/>
  <c r="BM22" i="50"/>
  <c r="BL22" i="50"/>
  <c r="BK22" i="50"/>
  <c r="BJ22" i="50"/>
  <c r="BI22" i="50"/>
  <c r="BH22" i="50"/>
  <c r="BG22" i="50"/>
  <c r="BE22" i="50"/>
  <c r="BD22" i="50"/>
  <c r="BC22" i="50"/>
  <c r="BB22" i="50"/>
  <c r="BA22" i="50"/>
  <c r="AZ22" i="50"/>
  <c r="AY22" i="50"/>
  <c r="AX22" i="50"/>
  <c r="AW22" i="50"/>
  <c r="AV22" i="50"/>
  <c r="AU22" i="50"/>
  <c r="AS22" i="50"/>
  <c r="AR22" i="50"/>
  <c r="AQ22" i="50"/>
  <c r="AP22" i="50"/>
  <c r="AO22" i="50"/>
  <c r="AN22" i="50"/>
  <c r="AM22" i="50"/>
  <c r="AL22" i="50"/>
  <c r="AK22" i="50"/>
  <c r="AJ22" i="50"/>
  <c r="AI22" i="50"/>
  <c r="AH22" i="50"/>
  <c r="AG22" i="50"/>
  <c r="AF22" i="50"/>
  <c r="AC22" i="50"/>
  <c r="AB22" i="50"/>
  <c r="AA22" i="50"/>
  <c r="Z22" i="50"/>
  <c r="Y22" i="50"/>
  <c r="X22" i="50"/>
  <c r="W22" i="50"/>
  <c r="CH21" i="50"/>
  <c r="CG21" i="50"/>
  <c r="CF21" i="50"/>
  <c r="CE21" i="50"/>
  <c r="CD21" i="50"/>
  <c r="CC21" i="50"/>
  <c r="CA21" i="50"/>
  <c r="BZ21" i="50"/>
  <c r="BY21" i="50"/>
  <c r="BX21" i="50"/>
  <c r="BW21" i="50"/>
  <c r="BV21" i="50"/>
  <c r="BU21" i="50"/>
  <c r="BT21" i="50"/>
  <c r="BS21" i="50"/>
  <c r="BR21" i="50"/>
  <c r="BQ21" i="50"/>
  <c r="BP21" i="50"/>
  <c r="BO21" i="50"/>
  <c r="BN21" i="50"/>
  <c r="BM21" i="50"/>
  <c r="BL21" i="50"/>
  <c r="BK21" i="50"/>
  <c r="BJ21" i="50"/>
  <c r="BI21" i="50"/>
  <c r="BH21" i="50"/>
  <c r="BG21" i="50"/>
  <c r="BE21" i="50"/>
  <c r="BD21" i="50"/>
  <c r="BC21" i="50"/>
  <c r="BB21" i="50"/>
  <c r="BA21" i="50"/>
  <c r="AZ21" i="50"/>
  <c r="AY21" i="50"/>
  <c r="AX21" i="50"/>
  <c r="AW21" i="50"/>
  <c r="AV21" i="50"/>
  <c r="AU21" i="50"/>
  <c r="AS21" i="50"/>
  <c r="AR21" i="50"/>
  <c r="AQ21" i="50"/>
  <c r="AP21" i="50"/>
  <c r="AO21" i="50"/>
  <c r="AN21" i="50"/>
  <c r="AM21" i="50"/>
  <c r="AL21" i="50"/>
  <c r="AK21" i="50"/>
  <c r="AJ21" i="50"/>
  <c r="AI21" i="50"/>
  <c r="AH21" i="50"/>
  <c r="AG21" i="50"/>
  <c r="AF21" i="50"/>
  <c r="AC21" i="50"/>
  <c r="AB21" i="50"/>
  <c r="AA21" i="50"/>
  <c r="Z21" i="50"/>
  <c r="Y21" i="50"/>
  <c r="X21" i="50"/>
  <c r="W21" i="50"/>
  <c r="U21" i="50"/>
  <c r="CH20" i="50"/>
  <c r="CG20" i="50"/>
  <c r="CF20" i="50"/>
  <c r="CE20" i="50"/>
  <c r="CD20" i="50"/>
  <c r="CC20" i="50"/>
  <c r="CA20" i="50"/>
  <c r="BZ20" i="50"/>
  <c r="BY20" i="50"/>
  <c r="BX20" i="50"/>
  <c r="BW20" i="50"/>
  <c r="BV20" i="50"/>
  <c r="BU20" i="50"/>
  <c r="BT20" i="50"/>
  <c r="BS20" i="50"/>
  <c r="BR20" i="50"/>
  <c r="BQ20" i="50"/>
  <c r="BP20" i="50"/>
  <c r="BO20" i="50"/>
  <c r="BN20" i="50"/>
  <c r="BM20" i="50"/>
  <c r="BL20" i="50"/>
  <c r="BK20" i="50"/>
  <c r="BJ20" i="50"/>
  <c r="BI20" i="50"/>
  <c r="BH20" i="50"/>
  <c r="BG20" i="50"/>
  <c r="BE20" i="50"/>
  <c r="BD20" i="50"/>
  <c r="BC20" i="50"/>
  <c r="BB20" i="50"/>
  <c r="BA20" i="50"/>
  <c r="AZ20" i="50"/>
  <c r="AY20" i="50"/>
  <c r="AX20" i="50"/>
  <c r="AW20" i="50"/>
  <c r="AV20" i="50"/>
  <c r="AU20" i="50"/>
  <c r="AS20" i="50"/>
  <c r="AR20" i="50"/>
  <c r="AQ20" i="50"/>
  <c r="AP20" i="50"/>
  <c r="AO20" i="50"/>
  <c r="AN20" i="50"/>
  <c r="AM20" i="50"/>
  <c r="AL20" i="50"/>
  <c r="AK20" i="50"/>
  <c r="AJ20" i="50"/>
  <c r="AI20" i="50"/>
  <c r="AH20" i="50"/>
  <c r="AG20" i="50"/>
  <c r="AF20" i="50"/>
  <c r="AC20" i="50"/>
  <c r="AB20" i="50"/>
  <c r="AA20" i="50"/>
  <c r="Z20" i="50"/>
  <c r="Y20" i="50"/>
  <c r="X20" i="50"/>
  <c r="W20" i="50"/>
  <c r="U20" i="50"/>
  <c r="T20" i="50"/>
  <c r="CH19" i="50"/>
  <c r="CG19" i="50"/>
  <c r="CF19" i="50"/>
  <c r="CE19" i="50"/>
  <c r="CD19" i="50"/>
  <c r="CC19" i="50"/>
  <c r="CA19" i="50"/>
  <c r="BZ19" i="50"/>
  <c r="BY19" i="50"/>
  <c r="BX19" i="50"/>
  <c r="BW19" i="50"/>
  <c r="BV19" i="50"/>
  <c r="BU19" i="50"/>
  <c r="BT19" i="50"/>
  <c r="BS19" i="50"/>
  <c r="BR19" i="50"/>
  <c r="BQ19" i="50"/>
  <c r="BP19" i="50"/>
  <c r="BO19" i="50"/>
  <c r="BN19" i="50"/>
  <c r="BM19" i="50"/>
  <c r="BL19" i="50"/>
  <c r="BK19" i="50"/>
  <c r="BJ19" i="50"/>
  <c r="BI19" i="50"/>
  <c r="BH19" i="50"/>
  <c r="BG19" i="50"/>
  <c r="BE19" i="50"/>
  <c r="BD19" i="50"/>
  <c r="BC19" i="50"/>
  <c r="BB19" i="50"/>
  <c r="BA19" i="50"/>
  <c r="AZ19" i="50"/>
  <c r="AY19" i="50"/>
  <c r="AX19" i="50"/>
  <c r="AW19" i="50"/>
  <c r="AV19" i="50"/>
  <c r="AU19" i="50"/>
  <c r="AS19" i="50"/>
  <c r="AR19" i="50"/>
  <c r="AQ19" i="50"/>
  <c r="AP19" i="50"/>
  <c r="AO19" i="50"/>
  <c r="AN19" i="50"/>
  <c r="AM19" i="50"/>
  <c r="AL19" i="50"/>
  <c r="AK19" i="50"/>
  <c r="AJ19" i="50"/>
  <c r="AI19" i="50"/>
  <c r="AH19" i="50"/>
  <c r="AG19" i="50"/>
  <c r="AF19" i="50"/>
  <c r="AC19" i="50"/>
  <c r="AB19" i="50"/>
  <c r="AA19" i="50"/>
  <c r="Z19" i="50"/>
  <c r="Y19" i="50"/>
  <c r="X19" i="50"/>
  <c r="W19" i="50"/>
  <c r="U19" i="50"/>
  <c r="T19" i="50"/>
  <c r="S19" i="50"/>
  <c r="CH18" i="50"/>
  <c r="CG18" i="50"/>
  <c r="CF18" i="50"/>
  <c r="CE18" i="50"/>
  <c r="CD18" i="50"/>
  <c r="CC18" i="50"/>
  <c r="CA18" i="50"/>
  <c r="BZ18" i="50"/>
  <c r="BY18" i="50"/>
  <c r="BX18" i="50"/>
  <c r="BW18" i="50"/>
  <c r="BV18" i="50"/>
  <c r="BU18" i="50"/>
  <c r="BT18" i="50"/>
  <c r="BS18" i="50"/>
  <c r="BR18" i="50"/>
  <c r="BQ18" i="50"/>
  <c r="BP18" i="50"/>
  <c r="BO18" i="50"/>
  <c r="BN18" i="50"/>
  <c r="BM18" i="50"/>
  <c r="BL18" i="50"/>
  <c r="BK18" i="50"/>
  <c r="BJ18" i="50"/>
  <c r="BI18" i="50"/>
  <c r="BH18" i="50"/>
  <c r="BG18" i="50"/>
  <c r="BE18" i="50"/>
  <c r="BD18" i="50"/>
  <c r="BC18" i="50"/>
  <c r="BB18" i="50"/>
  <c r="BA18" i="50"/>
  <c r="AZ18" i="50"/>
  <c r="AY18" i="50"/>
  <c r="AX18" i="50"/>
  <c r="AW18" i="50"/>
  <c r="AV18" i="50"/>
  <c r="AU18" i="50"/>
  <c r="AS18" i="50"/>
  <c r="AR18" i="50"/>
  <c r="AQ18" i="50"/>
  <c r="AP18" i="50"/>
  <c r="AO18" i="50"/>
  <c r="AN18" i="50"/>
  <c r="AM18" i="50"/>
  <c r="AL18" i="50"/>
  <c r="AK18" i="50"/>
  <c r="AJ18" i="50"/>
  <c r="AI18" i="50"/>
  <c r="AH18" i="50"/>
  <c r="AG18" i="50"/>
  <c r="AF18" i="50"/>
  <c r="AC18" i="50"/>
  <c r="AB18" i="50"/>
  <c r="AA18" i="50"/>
  <c r="Z18" i="50"/>
  <c r="Y18" i="50"/>
  <c r="X18" i="50"/>
  <c r="W18" i="50"/>
  <c r="U18" i="50"/>
  <c r="T18" i="50"/>
  <c r="S18" i="50"/>
  <c r="R18" i="50"/>
  <c r="CH16" i="50"/>
  <c r="CG16" i="50"/>
  <c r="CF16" i="50"/>
  <c r="CE16" i="50"/>
  <c r="CD16" i="50"/>
  <c r="CC16" i="50"/>
  <c r="CA16" i="50"/>
  <c r="BZ16" i="50"/>
  <c r="BY16" i="50"/>
  <c r="BX16" i="50"/>
  <c r="BW16" i="50"/>
  <c r="BV16" i="50"/>
  <c r="BU16" i="50"/>
  <c r="BT16" i="50"/>
  <c r="BS16" i="50"/>
  <c r="BR16" i="50"/>
  <c r="BQ16" i="50"/>
  <c r="BP16" i="50"/>
  <c r="BO16" i="50"/>
  <c r="BN16" i="50"/>
  <c r="BM16" i="50"/>
  <c r="BL16" i="50"/>
  <c r="BK16" i="50"/>
  <c r="BJ16" i="50"/>
  <c r="BI16" i="50"/>
  <c r="BH16" i="50"/>
  <c r="BG16" i="50"/>
  <c r="BE16" i="50"/>
  <c r="BD16" i="50"/>
  <c r="BC16" i="50"/>
  <c r="BB16" i="50"/>
  <c r="BA16" i="50"/>
  <c r="AZ16" i="50"/>
  <c r="AY16" i="50"/>
  <c r="AX16" i="50"/>
  <c r="AW16" i="50"/>
  <c r="AV16" i="50"/>
  <c r="AU16" i="50"/>
  <c r="AS16" i="50"/>
  <c r="AR16" i="50"/>
  <c r="AQ16" i="50"/>
  <c r="AP16" i="50"/>
  <c r="AO16" i="50"/>
  <c r="AN16" i="50"/>
  <c r="AM16" i="50"/>
  <c r="AL16" i="50"/>
  <c r="AK16" i="50"/>
  <c r="AJ16" i="50"/>
  <c r="AI16" i="50"/>
  <c r="AH16" i="50"/>
  <c r="AG16" i="50"/>
  <c r="AF16" i="50"/>
  <c r="AC16" i="50"/>
  <c r="AB16" i="50"/>
  <c r="AA16" i="50"/>
  <c r="Z16" i="50"/>
  <c r="Y16" i="50"/>
  <c r="X16" i="50"/>
  <c r="W16" i="50"/>
  <c r="U16" i="50"/>
  <c r="T16" i="50"/>
  <c r="S16" i="50"/>
  <c r="R16" i="50"/>
  <c r="Q16" i="50"/>
  <c r="CH15" i="50"/>
  <c r="CG15" i="50"/>
  <c r="CF15" i="50"/>
  <c r="CE15" i="50"/>
  <c r="CD15" i="50"/>
  <c r="CC15" i="50"/>
  <c r="CA15" i="50"/>
  <c r="BZ15" i="50"/>
  <c r="BY15" i="50"/>
  <c r="BX15" i="50"/>
  <c r="BW15" i="50"/>
  <c r="BV15" i="50"/>
  <c r="BU15" i="50"/>
  <c r="BT15" i="50"/>
  <c r="BS15" i="50"/>
  <c r="BR15" i="50"/>
  <c r="BQ15" i="50"/>
  <c r="BP15" i="50"/>
  <c r="BO15" i="50"/>
  <c r="BN15" i="50"/>
  <c r="BM15" i="50"/>
  <c r="BL15" i="50"/>
  <c r="BK15" i="50"/>
  <c r="BJ15" i="50"/>
  <c r="BI15" i="50"/>
  <c r="BH15" i="50"/>
  <c r="BG15" i="50"/>
  <c r="BE15" i="50"/>
  <c r="BD15" i="50"/>
  <c r="BC15" i="50"/>
  <c r="BB15" i="50"/>
  <c r="BA15" i="50"/>
  <c r="AZ15" i="50"/>
  <c r="AY15" i="50"/>
  <c r="AX15" i="50"/>
  <c r="AW15" i="50"/>
  <c r="AV15" i="50"/>
  <c r="AU15" i="50"/>
  <c r="AS15" i="50"/>
  <c r="AR15" i="50"/>
  <c r="AQ15" i="50"/>
  <c r="AP15" i="50"/>
  <c r="AO15" i="50"/>
  <c r="AN15" i="50"/>
  <c r="AM15" i="50"/>
  <c r="AL15" i="50"/>
  <c r="AK15" i="50"/>
  <c r="AJ15" i="50"/>
  <c r="AI15" i="50"/>
  <c r="AH15" i="50"/>
  <c r="AG15" i="50"/>
  <c r="AF15" i="50"/>
  <c r="AC15" i="50"/>
  <c r="AB15" i="50"/>
  <c r="AA15" i="50"/>
  <c r="Z15" i="50"/>
  <c r="Y15" i="50"/>
  <c r="X15" i="50"/>
  <c r="W15" i="50"/>
  <c r="U15" i="50"/>
  <c r="T15" i="50"/>
  <c r="S15" i="50"/>
  <c r="R15" i="50"/>
  <c r="Q15" i="50"/>
  <c r="O15" i="50"/>
  <c r="CH13" i="50"/>
  <c r="CG13" i="50"/>
  <c r="CF13" i="50"/>
  <c r="CE13" i="50"/>
  <c r="CD13" i="50"/>
  <c r="CC13" i="50"/>
  <c r="CA13" i="50"/>
  <c r="BZ13" i="50"/>
  <c r="BY13" i="50"/>
  <c r="BX13" i="50"/>
  <c r="BW13" i="50"/>
  <c r="BV13" i="50"/>
  <c r="BU13" i="50"/>
  <c r="BT13" i="50"/>
  <c r="BS13" i="50"/>
  <c r="BR13" i="50"/>
  <c r="BQ13" i="50"/>
  <c r="BP13" i="50"/>
  <c r="BO13" i="50"/>
  <c r="BN13" i="50"/>
  <c r="BM13" i="50"/>
  <c r="BL13" i="50"/>
  <c r="BK13" i="50"/>
  <c r="BJ13" i="50"/>
  <c r="BI13" i="50"/>
  <c r="BH13" i="50"/>
  <c r="BG13" i="50"/>
  <c r="BE13" i="50"/>
  <c r="BD13" i="50"/>
  <c r="BC13" i="50"/>
  <c r="BB13" i="50"/>
  <c r="BA13" i="50"/>
  <c r="AZ13" i="50"/>
  <c r="AY13" i="50"/>
  <c r="AX13" i="50"/>
  <c r="AW13" i="50"/>
  <c r="AV13" i="50"/>
  <c r="AU13" i="50"/>
  <c r="AS13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C13" i="50"/>
  <c r="AB13" i="50"/>
  <c r="AA13" i="50"/>
  <c r="Z13" i="50"/>
  <c r="Y13" i="50"/>
  <c r="X13" i="50"/>
  <c r="W13" i="50"/>
  <c r="U13" i="50"/>
  <c r="T13" i="50"/>
  <c r="S13" i="50"/>
  <c r="R13" i="50"/>
  <c r="Q13" i="50"/>
  <c r="O13" i="50"/>
  <c r="N13" i="50"/>
  <c r="CH12" i="50"/>
  <c r="CG12" i="50"/>
  <c r="CF12" i="50"/>
  <c r="CE12" i="50"/>
  <c r="CD12" i="50"/>
  <c r="CC12" i="50"/>
  <c r="CA12" i="50"/>
  <c r="BZ12" i="50"/>
  <c r="BY12" i="50"/>
  <c r="BX12" i="50"/>
  <c r="BW12" i="50"/>
  <c r="BV12" i="50"/>
  <c r="BU12" i="50"/>
  <c r="BT12" i="50"/>
  <c r="BS12" i="50"/>
  <c r="BR12" i="50"/>
  <c r="BQ12" i="50"/>
  <c r="BP12" i="50"/>
  <c r="BO12" i="50"/>
  <c r="BN12" i="50"/>
  <c r="BM12" i="50"/>
  <c r="BL12" i="50"/>
  <c r="BK12" i="50"/>
  <c r="BJ12" i="50"/>
  <c r="BI12" i="50"/>
  <c r="BH12" i="50"/>
  <c r="BG12" i="50"/>
  <c r="BE12" i="50"/>
  <c r="BD12" i="50"/>
  <c r="BC12" i="50"/>
  <c r="BB12" i="50"/>
  <c r="BA12" i="50"/>
  <c r="AZ12" i="50"/>
  <c r="AY12" i="50"/>
  <c r="AX12" i="50"/>
  <c r="AW12" i="50"/>
  <c r="AV12" i="50"/>
  <c r="AU12" i="50"/>
  <c r="AS12" i="50"/>
  <c r="AR12" i="50"/>
  <c r="AQ12" i="50"/>
  <c r="AP12" i="50"/>
  <c r="AO12" i="50"/>
  <c r="AN12" i="50"/>
  <c r="AM12" i="50"/>
  <c r="AL12" i="50"/>
  <c r="AK12" i="50"/>
  <c r="AJ12" i="50"/>
  <c r="AI12" i="50"/>
  <c r="AH12" i="50"/>
  <c r="AG12" i="50"/>
  <c r="AF12" i="50"/>
  <c r="AC12" i="50"/>
  <c r="AB12" i="50"/>
  <c r="AA12" i="50"/>
  <c r="Z12" i="50"/>
  <c r="Y12" i="50"/>
  <c r="X12" i="50"/>
  <c r="W12" i="50"/>
  <c r="U12" i="50"/>
  <c r="T12" i="50"/>
  <c r="S12" i="50"/>
  <c r="R12" i="50"/>
  <c r="Q12" i="50"/>
  <c r="O12" i="50"/>
  <c r="N12" i="50"/>
  <c r="L12" i="50"/>
  <c r="CH11" i="50"/>
  <c r="CG11" i="50"/>
  <c r="CF11" i="50"/>
  <c r="CE11" i="50"/>
  <c r="CD11" i="50"/>
  <c r="CC11" i="50"/>
  <c r="CA11" i="50"/>
  <c r="BZ11" i="50"/>
  <c r="BY11" i="50"/>
  <c r="BX11" i="50"/>
  <c r="BW11" i="50"/>
  <c r="BV11" i="50"/>
  <c r="BU11" i="50"/>
  <c r="BT11" i="50"/>
  <c r="BS11" i="50"/>
  <c r="BR11" i="50"/>
  <c r="BQ11" i="50"/>
  <c r="BP11" i="50"/>
  <c r="BO11" i="50"/>
  <c r="BN11" i="50"/>
  <c r="BM11" i="50"/>
  <c r="BL11" i="50"/>
  <c r="BK11" i="50"/>
  <c r="BJ11" i="50"/>
  <c r="BI11" i="50"/>
  <c r="BH11" i="50"/>
  <c r="BG11" i="50"/>
  <c r="BE11" i="50"/>
  <c r="BD11" i="50"/>
  <c r="BC11" i="50"/>
  <c r="BB11" i="50"/>
  <c r="BA11" i="50"/>
  <c r="AZ11" i="50"/>
  <c r="AY11" i="50"/>
  <c r="AX11" i="50"/>
  <c r="AW11" i="50"/>
  <c r="AV11" i="50"/>
  <c r="AU11" i="50"/>
  <c r="AS11" i="50"/>
  <c r="AR11" i="50"/>
  <c r="AQ11" i="50"/>
  <c r="AP11" i="50"/>
  <c r="AO11" i="50"/>
  <c r="AN11" i="50"/>
  <c r="AM11" i="50"/>
  <c r="AL11" i="50"/>
  <c r="AK11" i="50"/>
  <c r="AJ11" i="50"/>
  <c r="AI11" i="50"/>
  <c r="AH11" i="50"/>
  <c r="AG11" i="50"/>
  <c r="AF11" i="50"/>
  <c r="AC11" i="50"/>
  <c r="AB11" i="50"/>
  <c r="AA11" i="50"/>
  <c r="Z11" i="50"/>
  <c r="Y11" i="50"/>
  <c r="X11" i="50"/>
  <c r="W11" i="50"/>
  <c r="U11" i="50"/>
  <c r="T11" i="50"/>
  <c r="S11" i="50"/>
  <c r="R11" i="50"/>
  <c r="Q11" i="50"/>
  <c r="O11" i="50"/>
  <c r="N11" i="50"/>
  <c r="L11" i="50"/>
  <c r="K11" i="50"/>
  <c r="CH10" i="50"/>
  <c r="CG10" i="50"/>
  <c r="CF10" i="50"/>
  <c r="CE10" i="50"/>
  <c r="CD10" i="50"/>
  <c r="CC10" i="50"/>
  <c r="CA10" i="50"/>
  <c r="BZ10" i="50"/>
  <c r="BY10" i="50"/>
  <c r="BX10" i="50"/>
  <c r="BW10" i="50"/>
  <c r="BV10" i="50"/>
  <c r="BU10" i="50"/>
  <c r="BT10" i="50"/>
  <c r="BS10" i="50"/>
  <c r="BR10" i="50"/>
  <c r="BQ10" i="50"/>
  <c r="BP10" i="50"/>
  <c r="BO10" i="50"/>
  <c r="BN10" i="50"/>
  <c r="BM10" i="50"/>
  <c r="BL10" i="50"/>
  <c r="BK10" i="50"/>
  <c r="BJ10" i="50"/>
  <c r="BI10" i="50"/>
  <c r="BH10" i="50"/>
  <c r="BG10" i="50"/>
  <c r="BE10" i="50"/>
  <c r="BD10" i="50"/>
  <c r="BC10" i="50"/>
  <c r="BB10" i="50"/>
  <c r="BA10" i="50"/>
  <c r="AZ10" i="50"/>
  <c r="AY10" i="50"/>
  <c r="AX10" i="50"/>
  <c r="AW10" i="50"/>
  <c r="AV10" i="50"/>
  <c r="AU10" i="50"/>
  <c r="AS10" i="50"/>
  <c r="AR10" i="50"/>
  <c r="AQ10" i="50"/>
  <c r="AP10" i="50"/>
  <c r="AO10" i="50"/>
  <c r="AN10" i="50"/>
  <c r="AM10" i="50"/>
  <c r="AL10" i="50"/>
  <c r="AK10" i="50"/>
  <c r="AJ10" i="50"/>
  <c r="AI10" i="50"/>
  <c r="AH10" i="50"/>
  <c r="AG10" i="50"/>
  <c r="AF10" i="50"/>
  <c r="AC10" i="50"/>
  <c r="AB10" i="50"/>
  <c r="AA10" i="50"/>
  <c r="Z10" i="50"/>
  <c r="Y10" i="50"/>
  <c r="X10" i="50"/>
  <c r="W10" i="50"/>
  <c r="U10" i="50"/>
  <c r="T10" i="50"/>
  <c r="S10" i="50"/>
  <c r="R10" i="50"/>
  <c r="Q10" i="50"/>
  <c r="O10" i="50"/>
  <c r="N10" i="50"/>
  <c r="L10" i="50"/>
  <c r="K10" i="50"/>
  <c r="J10" i="50"/>
  <c r="CH9" i="50"/>
  <c r="CG9" i="50"/>
  <c r="CF9" i="50"/>
  <c r="CE9" i="50"/>
  <c r="CD9" i="50"/>
  <c r="CC9" i="50"/>
  <c r="CA9" i="50"/>
  <c r="BZ9" i="50"/>
  <c r="BY9" i="50"/>
  <c r="BX9" i="50"/>
  <c r="BW9" i="50"/>
  <c r="BV9" i="50"/>
  <c r="BU9" i="50"/>
  <c r="BT9" i="50"/>
  <c r="BS9" i="50"/>
  <c r="BR9" i="50"/>
  <c r="BQ9" i="50"/>
  <c r="BP9" i="50"/>
  <c r="BO9" i="50"/>
  <c r="BN9" i="50"/>
  <c r="BM9" i="50"/>
  <c r="BL9" i="50"/>
  <c r="BK9" i="50"/>
  <c r="BJ9" i="50"/>
  <c r="BI9" i="50"/>
  <c r="BH9" i="50"/>
  <c r="BG9" i="50"/>
  <c r="BE9" i="50"/>
  <c r="BD9" i="50"/>
  <c r="BC9" i="50"/>
  <c r="BB9" i="50"/>
  <c r="BA9" i="50"/>
  <c r="AZ9" i="50"/>
  <c r="AY9" i="50"/>
  <c r="AX9" i="50"/>
  <c r="AW9" i="50"/>
  <c r="AV9" i="50"/>
  <c r="AU9" i="50"/>
  <c r="AS9" i="50"/>
  <c r="AR9" i="50"/>
  <c r="AQ9" i="50"/>
  <c r="AP9" i="50"/>
  <c r="AO9" i="50"/>
  <c r="AN9" i="50"/>
  <c r="AM9" i="50"/>
  <c r="AL9" i="50"/>
  <c r="AK9" i="50"/>
  <c r="AJ9" i="50"/>
  <c r="AI9" i="50"/>
  <c r="AH9" i="50"/>
  <c r="AG9" i="50"/>
  <c r="AF9" i="50"/>
  <c r="AC9" i="50"/>
  <c r="AB9" i="50"/>
  <c r="AA9" i="50"/>
  <c r="Z9" i="50"/>
  <c r="Y9" i="50"/>
  <c r="X9" i="50"/>
  <c r="W9" i="50"/>
  <c r="U9" i="50"/>
  <c r="T9" i="50"/>
  <c r="S9" i="50"/>
  <c r="R9" i="50"/>
  <c r="Q9" i="50"/>
  <c r="O9" i="50"/>
  <c r="N9" i="50"/>
  <c r="L9" i="50"/>
  <c r="K9" i="50"/>
  <c r="J9" i="50"/>
  <c r="I9" i="50"/>
  <c r="CH8" i="50"/>
  <c r="CG8" i="50"/>
  <c r="CF8" i="50"/>
  <c r="CE8" i="50"/>
  <c r="CD8" i="50"/>
  <c r="CC8" i="50"/>
  <c r="CA8" i="50"/>
  <c r="BZ8" i="50"/>
  <c r="BY8" i="50"/>
  <c r="BX8" i="50"/>
  <c r="BW8" i="50"/>
  <c r="BV8" i="50"/>
  <c r="BU8" i="50"/>
  <c r="BT8" i="50"/>
  <c r="BS8" i="50"/>
  <c r="BR8" i="50"/>
  <c r="BQ8" i="50"/>
  <c r="BP8" i="50"/>
  <c r="BO8" i="50"/>
  <c r="BN8" i="50"/>
  <c r="BM8" i="50"/>
  <c r="BL8" i="50"/>
  <c r="BK8" i="50"/>
  <c r="BJ8" i="50"/>
  <c r="BI8" i="50"/>
  <c r="BH8" i="50"/>
  <c r="BG8" i="50"/>
  <c r="BE8" i="50"/>
  <c r="BD8" i="50"/>
  <c r="BC8" i="50"/>
  <c r="BB8" i="50"/>
  <c r="BA8" i="50"/>
  <c r="AZ8" i="50"/>
  <c r="AY8" i="50"/>
  <c r="AX8" i="50"/>
  <c r="AW8" i="50"/>
  <c r="AV8" i="50"/>
  <c r="AU8" i="50"/>
  <c r="AS8" i="50"/>
  <c r="AR8" i="50"/>
  <c r="AQ8" i="50"/>
  <c r="AP8" i="50"/>
  <c r="AO8" i="50"/>
  <c r="AN8" i="50"/>
  <c r="AM8" i="50"/>
  <c r="AL8" i="50"/>
  <c r="AK8" i="50"/>
  <c r="AJ8" i="50"/>
  <c r="AI8" i="50"/>
  <c r="AH8" i="50"/>
  <c r="AG8" i="50"/>
  <c r="AF8" i="50"/>
  <c r="AC8" i="50"/>
  <c r="AB8" i="50"/>
  <c r="AA8" i="50"/>
  <c r="Z8" i="50"/>
  <c r="Y8" i="50"/>
  <c r="X8" i="50"/>
  <c r="W8" i="50"/>
  <c r="U8" i="50"/>
  <c r="T8" i="50"/>
  <c r="S8" i="50"/>
  <c r="R8" i="50"/>
  <c r="Q8" i="50"/>
  <c r="O8" i="50"/>
  <c r="N8" i="50"/>
  <c r="L8" i="50"/>
  <c r="K8" i="50"/>
  <c r="J8" i="50"/>
  <c r="I8" i="50"/>
  <c r="H8" i="50"/>
  <c r="CH7" i="50"/>
  <c r="CG7" i="50"/>
  <c r="CF7" i="50"/>
  <c r="CE7" i="50"/>
  <c r="CD7" i="50"/>
  <c r="CC7" i="50"/>
  <c r="CA7" i="50"/>
  <c r="BZ7" i="50"/>
  <c r="BY7" i="50"/>
  <c r="BX7" i="50"/>
  <c r="BW7" i="50"/>
  <c r="BV7" i="50"/>
  <c r="BU7" i="50"/>
  <c r="BT7" i="50"/>
  <c r="BS7" i="50"/>
  <c r="BR7" i="50"/>
  <c r="BQ7" i="50"/>
  <c r="BP7" i="50"/>
  <c r="BO7" i="50"/>
  <c r="BN7" i="50"/>
  <c r="BM7" i="50"/>
  <c r="BL7" i="50"/>
  <c r="BK7" i="50"/>
  <c r="BJ7" i="50"/>
  <c r="BI7" i="50"/>
  <c r="BH7" i="50"/>
  <c r="BG7" i="50"/>
  <c r="BE7" i="50"/>
  <c r="BD7" i="50"/>
  <c r="BC7" i="50"/>
  <c r="BB7" i="50"/>
  <c r="BA7" i="50"/>
  <c r="AZ7" i="50"/>
  <c r="AY7" i="50"/>
  <c r="AX7" i="50"/>
  <c r="AW7" i="50"/>
  <c r="AV7" i="50"/>
  <c r="AU7" i="50"/>
  <c r="AS7" i="50"/>
  <c r="AR7" i="50"/>
  <c r="AQ7" i="50"/>
  <c r="AP7" i="50"/>
  <c r="AO7" i="50"/>
  <c r="AN7" i="50"/>
  <c r="AM7" i="50"/>
  <c r="AL7" i="50"/>
  <c r="AK7" i="50"/>
  <c r="AJ7" i="50"/>
  <c r="AI7" i="50"/>
  <c r="AH7" i="50"/>
  <c r="AG7" i="50"/>
  <c r="AF7" i="50"/>
  <c r="AC7" i="50"/>
  <c r="AB7" i="50"/>
  <c r="AA7" i="50"/>
  <c r="Z7" i="50"/>
  <c r="Y7" i="50"/>
  <c r="X7" i="50"/>
  <c r="W7" i="50"/>
  <c r="U7" i="50"/>
  <c r="T7" i="50"/>
  <c r="S7" i="50"/>
  <c r="R7" i="50"/>
  <c r="Q7" i="50"/>
  <c r="O7" i="50"/>
  <c r="N7" i="50"/>
  <c r="L7" i="50"/>
  <c r="K7" i="50"/>
  <c r="J7" i="50"/>
  <c r="I7" i="50"/>
  <c r="H7" i="50"/>
  <c r="G7" i="50"/>
  <c r="CH6" i="50"/>
  <c r="CG6" i="50"/>
  <c r="CF6" i="50"/>
  <c r="CE6" i="50"/>
  <c r="CD6" i="50"/>
  <c r="CC6" i="50"/>
  <c r="CA6" i="50"/>
  <c r="BZ6" i="50"/>
  <c r="BY6" i="50"/>
  <c r="BX6" i="50"/>
  <c r="BW6" i="50"/>
  <c r="BV6" i="50"/>
  <c r="BU6" i="50"/>
  <c r="BT6" i="50"/>
  <c r="BS6" i="50"/>
  <c r="BR6" i="50"/>
  <c r="BQ6" i="50"/>
  <c r="BP6" i="50"/>
  <c r="BO6" i="50"/>
  <c r="BN6" i="50"/>
  <c r="BM6" i="50"/>
  <c r="BL6" i="50"/>
  <c r="BK6" i="50"/>
  <c r="BJ6" i="50"/>
  <c r="BI6" i="50"/>
  <c r="BH6" i="50"/>
  <c r="BG6" i="50"/>
  <c r="BE6" i="50"/>
  <c r="BD6" i="50"/>
  <c r="BC6" i="50"/>
  <c r="BB6" i="50"/>
  <c r="BA6" i="50"/>
  <c r="AZ6" i="50"/>
  <c r="AY6" i="50"/>
  <c r="AX6" i="50"/>
  <c r="AW6" i="50"/>
  <c r="AV6" i="50"/>
  <c r="AU6" i="50"/>
  <c r="AS6" i="50"/>
  <c r="AR6" i="50"/>
  <c r="AQ6" i="50"/>
  <c r="AP6" i="50"/>
  <c r="AO6" i="50"/>
  <c r="AN6" i="50"/>
  <c r="AM6" i="50"/>
  <c r="AL6" i="50"/>
  <c r="AK6" i="50"/>
  <c r="AJ6" i="50"/>
  <c r="AI6" i="50"/>
  <c r="AH6" i="50"/>
  <c r="AG6" i="50"/>
  <c r="AF6" i="50"/>
  <c r="AC6" i="50"/>
  <c r="AB6" i="50"/>
  <c r="AA6" i="50"/>
  <c r="Z6" i="50"/>
  <c r="Y6" i="50"/>
  <c r="X6" i="50"/>
  <c r="W6" i="50"/>
  <c r="U6" i="50"/>
  <c r="T6" i="50"/>
  <c r="S6" i="50"/>
  <c r="R6" i="50"/>
  <c r="Q6" i="50"/>
  <c r="O6" i="50"/>
  <c r="N6" i="50"/>
  <c r="L6" i="50"/>
  <c r="K6" i="50"/>
  <c r="J6" i="50"/>
  <c r="I6" i="50"/>
  <c r="H6" i="50"/>
  <c r="G6" i="50"/>
  <c r="F6" i="50"/>
  <c r="CH5" i="50"/>
  <c r="CG5" i="50"/>
  <c r="CF5" i="50"/>
  <c r="CE5" i="50"/>
  <c r="CD5" i="50"/>
  <c r="CC5" i="50"/>
  <c r="CA5" i="50"/>
  <c r="BZ5" i="50"/>
  <c r="BY5" i="50"/>
  <c r="BX5" i="50"/>
  <c r="BW5" i="50"/>
  <c r="BV5" i="50"/>
  <c r="BU5" i="50"/>
  <c r="BT5" i="50"/>
  <c r="BS5" i="50"/>
  <c r="BR5" i="50"/>
  <c r="BQ5" i="50"/>
  <c r="BP5" i="50"/>
  <c r="BO5" i="50"/>
  <c r="BN5" i="50"/>
  <c r="BM5" i="50"/>
  <c r="BL5" i="50"/>
  <c r="BK5" i="50"/>
  <c r="BJ5" i="50"/>
  <c r="BI5" i="50"/>
  <c r="BH5" i="50"/>
  <c r="BG5" i="50"/>
  <c r="BE5" i="50"/>
  <c r="BD5" i="50"/>
  <c r="BC5" i="50"/>
  <c r="BB5" i="50"/>
  <c r="BA5" i="50"/>
  <c r="AZ5" i="50"/>
  <c r="AY5" i="50"/>
  <c r="AX5" i="50"/>
  <c r="AW5" i="50"/>
  <c r="AV5" i="50"/>
  <c r="AU5" i="50"/>
  <c r="AS5" i="50"/>
  <c r="AR5" i="50"/>
  <c r="AQ5" i="50"/>
  <c r="AP5" i="50"/>
  <c r="AO5" i="50"/>
  <c r="AN5" i="50"/>
  <c r="AM5" i="50"/>
  <c r="AL5" i="50"/>
  <c r="AK5" i="50"/>
  <c r="AJ5" i="50"/>
  <c r="AI5" i="50"/>
  <c r="AH5" i="50"/>
  <c r="AG5" i="50"/>
  <c r="AF5" i="50"/>
  <c r="AC5" i="50"/>
  <c r="AB5" i="50"/>
  <c r="AA5" i="50"/>
  <c r="Z5" i="50"/>
  <c r="Y5" i="50"/>
  <c r="X5" i="50"/>
  <c r="W5" i="50"/>
  <c r="U5" i="50"/>
  <c r="T5" i="50"/>
  <c r="S5" i="50"/>
  <c r="R5" i="50"/>
  <c r="Q5" i="50"/>
  <c r="O5" i="50"/>
  <c r="N5" i="50"/>
  <c r="L5" i="50"/>
  <c r="K5" i="50"/>
  <c r="J5" i="50"/>
  <c r="I5" i="50"/>
  <c r="H5" i="50"/>
  <c r="G5" i="50"/>
  <c r="F5" i="50"/>
  <c r="E5" i="50"/>
  <c r="CH4" i="50"/>
  <c r="CG4" i="50"/>
  <c r="CF4" i="50"/>
  <c r="CE4" i="50"/>
  <c r="CD4" i="50"/>
  <c r="CC4" i="50"/>
  <c r="CA4" i="50"/>
  <c r="BZ4" i="50"/>
  <c r="BY4" i="50"/>
  <c r="BX4" i="50"/>
  <c r="BW4" i="50"/>
  <c r="BV4" i="50"/>
  <c r="BU4" i="50"/>
  <c r="BT4" i="50"/>
  <c r="BS4" i="50"/>
  <c r="BR4" i="50"/>
  <c r="BQ4" i="50"/>
  <c r="BP4" i="50"/>
  <c r="BO4" i="50"/>
  <c r="BN4" i="50"/>
  <c r="BM4" i="50"/>
  <c r="BL4" i="50"/>
  <c r="BK4" i="50"/>
  <c r="BJ4" i="50"/>
  <c r="BI4" i="50"/>
  <c r="BH4" i="50"/>
  <c r="BG4" i="50"/>
  <c r="BE4" i="50"/>
  <c r="BD4" i="50"/>
  <c r="BC4" i="50"/>
  <c r="BB4" i="50"/>
  <c r="BA4" i="50"/>
  <c r="AZ4" i="50"/>
  <c r="AY4" i="50"/>
  <c r="AX4" i="50"/>
  <c r="AW4" i="50"/>
  <c r="AV4" i="50"/>
  <c r="AU4" i="50"/>
  <c r="AS4" i="50"/>
  <c r="AR4" i="50"/>
  <c r="AQ4" i="50"/>
  <c r="AP4" i="50"/>
  <c r="AO4" i="50"/>
  <c r="AN4" i="50"/>
  <c r="AM4" i="50"/>
  <c r="AL4" i="50"/>
  <c r="AK4" i="50"/>
  <c r="AJ4" i="50"/>
  <c r="AI4" i="50"/>
  <c r="AH4" i="50"/>
  <c r="AG4" i="50"/>
  <c r="AF4" i="50"/>
  <c r="AC4" i="50"/>
  <c r="AB4" i="50"/>
  <c r="AA4" i="50"/>
  <c r="Z4" i="50"/>
  <c r="Y4" i="50"/>
  <c r="X4" i="50"/>
  <c r="W4" i="50"/>
  <c r="U4" i="50"/>
  <c r="T4" i="50"/>
  <c r="S4" i="50"/>
  <c r="R4" i="50"/>
  <c r="Q4" i="50"/>
  <c r="O4" i="50"/>
  <c r="N4" i="50"/>
  <c r="L4" i="50"/>
  <c r="K4" i="50"/>
  <c r="J4" i="50"/>
  <c r="I4" i="50"/>
  <c r="H4" i="50"/>
  <c r="G4" i="50"/>
  <c r="F4" i="50"/>
  <c r="E4" i="50"/>
  <c r="D4" i="50"/>
  <c r="CH3" i="50"/>
  <c r="CG3" i="50"/>
  <c r="CF3" i="50"/>
  <c r="CE3" i="50"/>
  <c r="CD3" i="50"/>
  <c r="CC3" i="50"/>
  <c r="CA3" i="50"/>
  <c r="BZ3" i="50"/>
  <c r="BY3" i="50"/>
  <c r="BX3" i="50"/>
  <c r="BW3" i="50"/>
  <c r="BV3" i="50"/>
  <c r="BU3" i="50"/>
  <c r="BT3" i="50"/>
  <c r="BS3" i="50"/>
  <c r="BR3" i="50"/>
  <c r="BQ3" i="50"/>
  <c r="BP3" i="50"/>
  <c r="BO3" i="50"/>
  <c r="BN3" i="50"/>
  <c r="BM3" i="50"/>
  <c r="BL3" i="50"/>
  <c r="BK3" i="50"/>
  <c r="BJ3" i="50"/>
  <c r="BI3" i="50"/>
  <c r="BH3" i="50"/>
  <c r="BG3" i="50"/>
  <c r="BE3" i="50"/>
  <c r="BD3" i="50"/>
  <c r="BC3" i="50"/>
  <c r="BB3" i="50"/>
  <c r="BA3" i="50"/>
  <c r="AZ3" i="50"/>
  <c r="AY3" i="50"/>
  <c r="AX3" i="50"/>
  <c r="AW3" i="50"/>
  <c r="AV3" i="50"/>
  <c r="AU3" i="50"/>
  <c r="AS3" i="50"/>
  <c r="AR3" i="50"/>
  <c r="AQ3" i="50"/>
  <c r="AP3" i="50"/>
  <c r="AO3" i="50"/>
  <c r="AN3" i="50"/>
  <c r="AM3" i="50"/>
  <c r="AL3" i="50"/>
  <c r="AK3" i="50"/>
  <c r="AJ3" i="50"/>
  <c r="AI3" i="50"/>
  <c r="AH3" i="50"/>
  <c r="AG3" i="50"/>
  <c r="AF3" i="50"/>
  <c r="AC3" i="50"/>
  <c r="AB3" i="50"/>
  <c r="AA3" i="50"/>
  <c r="Z3" i="50"/>
  <c r="Y3" i="50"/>
  <c r="X3" i="50"/>
  <c r="W3" i="50"/>
  <c r="U3" i="50"/>
  <c r="T3" i="50"/>
  <c r="S3" i="50"/>
  <c r="R3" i="50"/>
  <c r="O3" i="50"/>
  <c r="N3" i="50"/>
  <c r="L3" i="50"/>
  <c r="K3" i="50"/>
  <c r="J3" i="50"/>
  <c r="I3" i="50"/>
  <c r="H3" i="50"/>
  <c r="G3" i="50"/>
  <c r="F3" i="50"/>
  <c r="E3" i="50"/>
  <c r="D3" i="50"/>
  <c r="C3" i="50"/>
</calcChain>
</file>

<file path=xl/sharedStrings.xml><?xml version="1.0" encoding="utf-8"?>
<sst xmlns="http://schemas.openxmlformats.org/spreadsheetml/2006/main" count="1451" uniqueCount="841">
  <si>
    <t>Вес</t>
  </si>
  <si>
    <t>0,5 kg</t>
  </si>
  <si>
    <t>1,0 kg</t>
  </si>
  <si>
    <t>1,5 kg</t>
  </si>
  <si>
    <t>2,0 kg</t>
  </si>
  <si>
    <t>2,5 kg</t>
  </si>
  <si>
    <t>3,0 kg</t>
  </si>
  <si>
    <t>3,5 kg</t>
  </si>
  <si>
    <t>4,0 kg</t>
  </si>
  <si>
    <t>4,5 kg</t>
  </si>
  <si>
    <t>5,0 kg</t>
  </si>
  <si>
    <t>10,0 kg</t>
  </si>
  <si>
    <t>+ 1,0 kg</t>
  </si>
  <si>
    <t>Аксай</t>
  </si>
  <si>
    <t>Актау</t>
  </si>
  <si>
    <t>Атырау</t>
  </si>
  <si>
    <t>Балхаш</t>
  </si>
  <si>
    <t>Жезказган</t>
  </si>
  <si>
    <t>Караганда</t>
  </si>
  <si>
    <t>Кокшетау</t>
  </si>
  <si>
    <t>Кульсары</t>
  </si>
  <si>
    <t>Павлодар</t>
  </si>
  <si>
    <t>Петропавловск</t>
  </si>
  <si>
    <t>Рудный</t>
  </si>
  <si>
    <t>Тараз</t>
  </si>
  <si>
    <t>Темиртау</t>
  </si>
  <si>
    <t>Уральск</t>
  </si>
  <si>
    <t>Усть-Каменогорск</t>
  </si>
  <si>
    <t>Экибастуз</t>
  </si>
  <si>
    <t>Тарифные зоны</t>
  </si>
  <si>
    <t>Шымкент</t>
  </si>
  <si>
    <t>Тариф на доставку, тенге</t>
  </si>
  <si>
    <t>Тенгиз</t>
  </si>
  <si>
    <t>Атбасар</t>
  </si>
  <si>
    <t>Степногорск</t>
  </si>
  <si>
    <t>Хромтау</t>
  </si>
  <si>
    <t>Кентау</t>
  </si>
  <si>
    <t>Лисаковск</t>
  </si>
  <si>
    <t>Сарань</t>
  </si>
  <si>
    <t>Шахтинск</t>
  </si>
  <si>
    <t>Сатпаев</t>
  </si>
  <si>
    <t>Щучинск</t>
  </si>
  <si>
    <t>Боровое</t>
  </si>
  <si>
    <t>Аксу</t>
  </si>
  <si>
    <t>Байсерке</t>
  </si>
  <si>
    <t>Иссык</t>
  </si>
  <si>
    <t>Жетыген</t>
  </si>
  <si>
    <t>Капчагай</t>
  </si>
  <si>
    <t>Каскелен</t>
  </si>
  <si>
    <t>Талгар</t>
  </si>
  <si>
    <t>Жайрем</t>
  </si>
  <si>
    <t>Байконур</t>
  </si>
  <si>
    <t>Курчатов</t>
  </si>
  <si>
    <t>Риддер</t>
  </si>
  <si>
    <t>Аксукент</t>
  </si>
  <si>
    <t>Туркестан</t>
  </si>
  <si>
    <t>Кызыл-Орда</t>
  </si>
  <si>
    <t>Акколь</t>
  </si>
  <si>
    <t>Алматы</t>
  </si>
  <si>
    <t>Актобе</t>
  </si>
  <si>
    <t>Ерейментау</t>
  </si>
  <si>
    <t>Семей</t>
  </si>
  <si>
    <t>Жана-Озень</t>
  </si>
  <si>
    <t>-</t>
  </si>
  <si>
    <t>Шемонаиха</t>
  </si>
  <si>
    <t>Аркалык</t>
  </si>
  <si>
    <t>Шиели</t>
  </si>
  <si>
    <t>Кулан</t>
  </si>
  <si>
    <t>Мерке</t>
  </si>
  <si>
    <t>Сайрам</t>
  </si>
  <si>
    <t>Зона 2</t>
  </si>
  <si>
    <t>Зона 3</t>
  </si>
  <si>
    <t>Зона 4</t>
  </si>
  <si>
    <t>Населённый пункт</t>
  </si>
  <si>
    <t>Внутри области</t>
  </si>
  <si>
    <t>Калкаман</t>
  </si>
  <si>
    <t>Ремизовка</t>
  </si>
  <si>
    <t>Чемолган</t>
  </si>
  <si>
    <t>Актюбинская область</t>
  </si>
  <si>
    <t>Атырауская область</t>
  </si>
  <si>
    <t>Серебрянск</t>
  </si>
  <si>
    <t>Есиль</t>
  </si>
  <si>
    <t>Васильковский ГОК</t>
  </si>
  <si>
    <t>Зеренда</t>
  </si>
  <si>
    <t>Красный Яр</t>
  </si>
  <si>
    <t>Макинск</t>
  </si>
  <si>
    <t>Алга</t>
  </si>
  <si>
    <t>Кандыагаш</t>
  </si>
  <si>
    <t>Мартук</t>
  </si>
  <si>
    <t>Хобда</t>
  </si>
  <si>
    <t>Шалкар</t>
  </si>
  <si>
    <t>Эмба</t>
  </si>
  <si>
    <t>Коктау</t>
  </si>
  <si>
    <t>Желаево</t>
  </si>
  <si>
    <t>Кызылординская область</t>
  </si>
  <si>
    <t>Костанайская область</t>
  </si>
  <si>
    <t>Мангыстауская область</t>
  </si>
  <si>
    <t>Северо-Казахстанская область</t>
  </si>
  <si>
    <t>Жамбылская область</t>
  </si>
  <si>
    <t>Южно-Казахстанская область</t>
  </si>
  <si>
    <t>Павлодарская область</t>
  </si>
  <si>
    <t>Кордай</t>
  </si>
  <si>
    <t>Восточно-Казахстанская область (ч/з Семей)</t>
  </si>
  <si>
    <t>Карагандинская область</t>
  </si>
  <si>
    <t>Акмолинская область (ч/з Кокшетау)</t>
  </si>
  <si>
    <t>Курык</t>
  </si>
  <si>
    <t>Форт Шевченко</t>
  </si>
  <si>
    <t>Глубокое</t>
  </si>
  <si>
    <t>Зайсан</t>
  </si>
  <si>
    <t>Актас</t>
  </si>
  <si>
    <t>Аральск</t>
  </si>
  <si>
    <t>Казалинск</t>
  </si>
  <si>
    <t>Казгермунай</t>
  </si>
  <si>
    <t>Торетам</t>
  </si>
  <si>
    <t>Аулиеколь</t>
  </si>
  <si>
    <t>Затобольск</t>
  </si>
  <si>
    <t>Баутино</t>
  </si>
  <si>
    <t>Бейнеу</t>
  </si>
  <si>
    <t>Умирзак</t>
  </si>
  <si>
    <t>Баянаул</t>
  </si>
  <si>
    <t>Мамлютка</t>
  </si>
  <si>
    <t>Луговое</t>
  </si>
  <si>
    <t>Шу</t>
  </si>
  <si>
    <t>Арысь</t>
  </si>
  <si>
    <t>Ленгер</t>
  </si>
  <si>
    <t>Тассай</t>
  </si>
  <si>
    <t>Вес отправления, кг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</si>
  <si>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1,00</t>
    </r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</si>
  <si>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3,00</t>
    </r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</si>
  <si>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5,00</t>
    </r>
  </si>
  <si>
    <t>Зона 1</t>
  </si>
  <si>
    <t>Срок доставки, раб.д.</t>
  </si>
  <si>
    <t>7-10</t>
  </si>
  <si>
    <t>10-13</t>
  </si>
  <si>
    <t>Боранколь</t>
  </si>
  <si>
    <t>Мангыстау ст.</t>
  </si>
  <si>
    <t>Балпык би</t>
  </si>
  <si>
    <t>Боролдай (Бурундай)</t>
  </si>
  <si>
    <t>Майкаин</t>
  </si>
  <si>
    <t>Комсомол</t>
  </si>
  <si>
    <t>Тенге</t>
  </si>
  <si>
    <t>Шетпе</t>
  </si>
  <si>
    <t>Иргиз</t>
  </si>
  <si>
    <t>Долинка</t>
  </si>
  <si>
    <t>Варваринка</t>
  </si>
  <si>
    <t>Карабалык</t>
  </si>
  <si>
    <t>Кушмурун</t>
  </si>
  <si>
    <t>Тобол</t>
  </si>
  <si>
    <t>Балыкшы</t>
  </si>
  <si>
    <t>Геолог</t>
  </si>
  <si>
    <t>Жумыскер</t>
  </si>
  <si>
    <t>Саумалколь</t>
  </si>
  <si>
    <t>Якорь</t>
  </si>
  <si>
    <t>Жанакорган</t>
  </si>
  <si>
    <t>Жосалы</t>
  </si>
  <si>
    <t>КБИ</t>
  </si>
  <si>
    <t>Теренозек</t>
  </si>
  <si>
    <t>Иртышск</t>
  </si>
  <si>
    <t>Айша биби</t>
  </si>
  <si>
    <t>Аса</t>
  </si>
  <si>
    <t>Каратау</t>
  </si>
  <si>
    <t>Сарыкемер</t>
  </si>
  <si>
    <t>Западно-Казахстанская область</t>
  </si>
  <si>
    <t>Сортировка (пос.)</t>
  </si>
  <si>
    <t>Из област. центров РК</t>
  </si>
  <si>
    <t>Из прочих нас. пунктов</t>
  </si>
  <si>
    <t>Каргалы (Фабричный)</t>
  </si>
  <si>
    <t>Талдыкорган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</si>
  <si>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50,00</t>
    </r>
  </si>
  <si>
    <t>Вес отправления округляется в большую сторону до ближайшего значения, соответствующего тарифной сетке</t>
  </si>
  <si>
    <t>3-10</t>
  </si>
  <si>
    <t>Тарифные зоны доставки между регионами Республики Казахстан (тариф Эконом)</t>
  </si>
  <si>
    <t>Коныспай</t>
  </si>
  <si>
    <t>Торгай</t>
  </si>
  <si>
    <t>Деркул</t>
  </si>
  <si>
    <t>Селекционный</t>
  </si>
  <si>
    <t>Зачаганск</t>
  </si>
  <si>
    <t>Аэропорт г. Тараз</t>
  </si>
  <si>
    <t>Аэропорт г. Кокшетау</t>
  </si>
  <si>
    <t>Аэропорт г. Актау</t>
  </si>
  <si>
    <t>Аэропорт г. Уральск</t>
  </si>
  <si>
    <t>Отеген Батыр</t>
  </si>
  <si>
    <t>Бирлик пос. (Атырауская обл.)</t>
  </si>
  <si>
    <t>Аэропорт г. Шымкент</t>
  </si>
  <si>
    <t>Сары-Агаш</t>
  </si>
  <si>
    <t>Аягоз</t>
  </si>
  <si>
    <t>Державинск</t>
  </si>
  <si>
    <t>Алатау пос.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</si>
  <si>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(длинна (см) х высота(см) х ширина(см))/ 5000= вес отправления.</t>
  </si>
  <si>
    <t>Мичурино (ЗКО)</t>
  </si>
  <si>
    <t>Туймебаева пос.</t>
  </si>
  <si>
    <t>Костанай</t>
  </si>
  <si>
    <t>Бадам ст.</t>
  </si>
  <si>
    <t>Доскей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</si>
  <si>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2,00</t>
    </r>
  </si>
  <si>
    <t>Солнечный пос.</t>
  </si>
  <si>
    <t>Талас ст.</t>
  </si>
  <si>
    <t>КЭЗ</t>
  </si>
  <si>
    <t>Заречный пос.</t>
  </si>
  <si>
    <r>
      <t xml:space="preserve">Составляющая "Склад" применяется </t>
    </r>
    <r>
      <rPr>
        <b/>
        <i/>
        <sz val="10"/>
        <rFont val="Arial Cyr"/>
        <charset val="204"/>
      </rPr>
      <t xml:space="preserve">ТОЛЬКО </t>
    </r>
    <r>
      <rPr>
        <i/>
        <sz val="10"/>
        <rFont val="Arial Cyr"/>
        <charset val="204"/>
      </rPr>
      <t>для областных центров Казахстана, в которых есть филиалы (пункты приёма) отправлений</t>
    </r>
  </si>
  <si>
    <t>Туркестанская область</t>
  </si>
  <si>
    <t>Аэропорт г. Петропавловск</t>
  </si>
  <si>
    <t>Джетысай</t>
  </si>
  <si>
    <t>Кенжеколь</t>
  </si>
  <si>
    <t>Магистральный</t>
  </si>
  <si>
    <t>Восточно-Казахстанская обл. (ч/з Усть-Каменогорск)</t>
  </si>
  <si>
    <t>Прапорщиково</t>
  </si>
  <si>
    <t>Узун-Агаш (Узынагаш)</t>
  </si>
  <si>
    <t>Гулдала</t>
  </si>
  <si>
    <t>Береке пос. (Алматинская обл.)</t>
  </si>
  <si>
    <t>Аэропорт г. Алматы</t>
  </si>
  <si>
    <t>Альмерек</t>
  </si>
  <si>
    <t>Первомайский пос.</t>
  </si>
  <si>
    <t>Баганашыл</t>
  </si>
  <si>
    <t>Алмарасан</t>
  </si>
  <si>
    <t>Думан</t>
  </si>
  <si>
    <t>Нурлы Тау</t>
  </si>
  <si>
    <t>Коккайнар</t>
  </si>
  <si>
    <t>Коянды</t>
  </si>
  <si>
    <t>Талапкер</t>
  </si>
  <si>
    <t>Балхаш, Жезказган, Рудный, Хромтау, Экибастуз</t>
  </si>
  <si>
    <t>Доставка из Москвы</t>
  </si>
  <si>
    <t>5-7</t>
  </si>
  <si>
    <t>7-12</t>
  </si>
  <si>
    <t>Вес отправления округляется в большую сторону до ближайшего значения, соответствующего тарифной сетке.</t>
  </si>
  <si>
    <t>Если вес одного места превышает 70 кг, либо если один из габаритов отдельного места превышает 100 см, применяется поправочный коэффициент 1,5 к общему тарифу на доставку.</t>
  </si>
  <si>
    <t>Расчёт стоимости доставки ведётся по большему из двух значений веса – фактического или объёмного. Расчет объёмного веса производиться по формуле (длинна (см) х высота(см) х ширина(см)) / 5000 = вес отправления.</t>
  </si>
  <si>
    <t>7-9</t>
  </si>
  <si>
    <t>9-12</t>
  </si>
  <si>
    <t>9-14</t>
  </si>
  <si>
    <t>Нур-Султан</t>
  </si>
  <si>
    <t>"Дверь - Дверь"</t>
  </si>
  <si>
    <t>"Склад - Дверь" / "Дверь - Склад"  *</t>
  </si>
  <si>
    <t>"Склад - Склад" **</t>
  </si>
  <si>
    <t>* Составляющая "Склад" применяется ТОЛЬКО для областных центров Казахстана, в которых есть филиалы (пункты приёма) отправлений.</t>
  </si>
  <si>
    <t>Тариф не применяется.</t>
  </si>
  <si>
    <t>+ 1,00 кг &gt; 10 кг</t>
  </si>
  <si>
    <t>Все тарифы включают  НДС, вызов курьера и стандартный упаковочный материал.</t>
  </si>
  <si>
    <t>+ 1,00 kg</t>
  </si>
  <si>
    <t>≤ 10,00</t>
  </si>
  <si>
    <t>Срок доставки, раб.дни</t>
  </si>
  <si>
    <t>Тариф "Эконом" на курьерскую доставку наземным транспортом между регионами Казахстана (в  тенге)</t>
  </si>
  <si>
    <t>Схема доставки "Дверь - Дверь"</t>
  </si>
  <si>
    <t>Схема доставки "Склад-Дверь" / "Дверь-Склад"</t>
  </si>
  <si>
    <t>Схема доставки "Склад-Склад"</t>
  </si>
  <si>
    <t>Алтай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</si>
  <si>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запросу.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</si>
  <si>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20,00</t>
    </r>
  </si>
  <si>
    <t>Тариф "Блиц" на курьерскую доставку сверхсрочных отправлений между регионами Казахстана</t>
  </si>
  <si>
    <t>Алматы, Нур-Султан</t>
  </si>
  <si>
    <t>ГРЭС-1, ГРЭС-2</t>
  </si>
  <si>
    <t>Аэропорт г. Караганда</t>
  </si>
  <si>
    <t>Доставка из МО и Санкт-Петербурга</t>
  </si>
  <si>
    <t>Зона 5</t>
  </si>
  <si>
    <t>Тариф "Экспресс" на курьерскую доставку между регионами Казахстана</t>
  </si>
  <si>
    <t>Тариф "Эконом" на курьерскую доставку отправлений наземным транспортом из Москвы, Санкт-Петербурга и Московской области в регионы Казахстана</t>
  </si>
  <si>
    <t>Прочие направления, не указанные в данном перечне, относятся к 5-ой тарифной зоне</t>
  </si>
  <si>
    <t>Все тарифы включают топливный и прочие сборы, вызов курьера и стандартный упаковочный материал.</t>
  </si>
  <si>
    <r>
      <t xml:space="preserve">Тариф применяется ТОЛЬКО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ПРЕДУСМОТРЕНЫ!</t>
    </r>
  </si>
  <si>
    <t>При весе отправлений свыше 10,00 кг тариф умножается на общий вес отправления.</t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</si>
  <si>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</t>
    </r>
    <r>
      <rPr>
        <i/>
        <sz val="10"/>
        <rFont val="Arial Cyr"/>
        <charset val="204"/>
      </rPr>
      <t>!</t>
    </r>
  </si>
  <si>
    <t>Все тарифы включают  НДС, топливные и прочие сборы, вызов курьера и стандартный упаковочный материал.</t>
  </si>
  <si>
    <t>Айет</t>
  </si>
  <si>
    <t>Житикара</t>
  </si>
  <si>
    <t>Житикаринский рудник</t>
  </si>
  <si>
    <t>Услуга предусматривает отправку ближайшим авиарейсом при условии приема отправления курьером за 6 часов до вылета самолета двумя видами отправок: для пакетной документации весом  до 2,00 кг - командирской почтой, для всех остальных категорий отправлений - по  грузовой авианакладной.</t>
  </si>
  <si>
    <t>Схемы доставки "Склад-Дверь", "Дверь-Склад" и "Склад-Склад" для тарифа Блиц не предусмотрены.</t>
  </si>
  <si>
    <t>Тариф "Блиц" на доставку неконсолидированных термолабильных отправлений между регионами Казахстана</t>
  </si>
  <si>
    <t>Тариф не применяется</t>
  </si>
  <si>
    <t>Тариф "Экспресс" на доставку термолабильных отправлений между регионами Казахстана в составе консолидаций</t>
  </si>
  <si>
    <t>Все тарифы включают  НДС, топливные и прочие сборы, вызов курьера, стандартный упаковочный материал.</t>
  </si>
  <si>
    <t>Тасбогет</t>
  </si>
  <si>
    <t>При разнице в тарифных зонах для различных населённых пунктов применяется большая из двух зон. Например, доставка по Атырауской области из пос. Геолог (зона 2) в Тенгиз (зона 4) рассчитывается по 4-ой тарифной зоне</t>
  </si>
  <si>
    <t>Алматинская область</t>
  </si>
  <si>
    <t>Кызылорда</t>
  </si>
  <si>
    <t>Экспресс</t>
  </si>
  <si>
    <t>1/2*</t>
  </si>
  <si>
    <t>* Номер зоны при пересылке между областными центрами определяется прямым (зона 1) либо транзитным (зона 2) сообщением между городами.</t>
  </si>
  <si>
    <t>Зона 1-2</t>
  </si>
  <si>
    <t>Актау, Актобе, Атырау, Караганда, Кокшетау, Костанай, Кызыл-Орда, Павлодар, Петропавловск, Семей, Талды-Курган, Тараз, Туркестан, Уральск, Усть-Каменогорск, Шымкент</t>
  </si>
  <si>
    <t>71 разъезд (Алматинская обл.)</t>
  </si>
  <si>
    <t>Абай (Алматинская обл.)</t>
  </si>
  <si>
    <t>Акжар (Алматинская обл.)</t>
  </si>
  <si>
    <t>Алгабас мкр-н (Алматы)</t>
  </si>
  <si>
    <t>Байтак мкр-н (Алматинская обл.)</t>
  </si>
  <si>
    <t>Бесагаш (Алматинская обл.)</t>
  </si>
  <si>
    <t>Боралдай (Алматинская обл.)</t>
  </si>
  <si>
    <t>Тобыл (Затобольск)</t>
  </si>
  <si>
    <t>ИЯФ (Алматинская обл.)</t>
  </si>
  <si>
    <t>Калкаман (Алматинская обл.)</t>
  </si>
  <si>
    <t>Кемел мкр-н (Алматы)</t>
  </si>
  <si>
    <t>Коныспай пос.</t>
  </si>
  <si>
    <t>Покровка (Алматинская обл.)</t>
  </si>
  <si>
    <t>Теректы мкр-н (Алматы)</t>
  </si>
  <si>
    <t>Думан мкр-н (Алматинская обл.)</t>
  </si>
  <si>
    <t>Коккайнар (Алматинская область)</t>
  </si>
  <si>
    <t>Нурлытау мкр-н (Алматы)</t>
  </si>
  <si>
    <t>Хан Тенгри</t>
  </si>
  <si>
    <t>Тарифные зоны доставки между регионами Республики Казахстан (тариф Экспресс)</t>
  </si>
  <si>
    <t>Каргалы мкр-н (Алматы)</t>
  </si>
  <si>
    <t>Международные тарифные зоны</t>
  </si>
  <si>
    <t>Страна</t>
  </si>
  <si>
    <t>Зона</t>
  </si>
  <si>
    <t>А</t>
  </si>
  <si>
    <t>Гондурас</t>
  </si>
  <si>
    <t>Ливан</t>
  </si>
  <si>
    <t>С</t>
  </si>
  <si>
    <t>Австралия</t>
  </si>
  <si>
    <t>Гонконг</t>
  </si>
  <si>
    <t>Австрия</t>
  </si>
  <si>
    <t>Гренада</t>
  </si>
  <si>
    <t>Литва</t>
  </si>
  <si>
    <t>Саудовская Аравия</t>
  </si>
  <si>
    <t>Албания</t>
  </si>
  <si>
    <t>Гренландия</t>
  </si>
  <si>
    <t>Лихтенштейн</t>
  </si>
  <si>
    <t>Свазиленд</t>
  </si>
  <si>
    <t>Алжир</t>
  </si>
  <si>
    <t>Греция</t>
  </si>
  <si>
    <t>Люксембург</t>
  </si>
  <si>
    <t>Сейшельские о-ва</t>
  </si>
  <si>
    <t>Американское Самоа</t>
  </si>
  <si>
    <t>Грузия</t>
  </si>
  <si>
    <t>М</t>
  </si>
  <si>
    <t>Сенегал</t>
  </si>
  <si>
    <t>Ангилья</t>
  </si>
  <si>
    <t>Гуам</t>
  </si>
  <si>
    <t>Маврикий</t>
  </si>
  <si>
    <t>Сербия</t>
  </si>
  <si>
    <t>Ангола</t>
  </si>
  <si>
    <t>Д</t>
  </si>
  <si>
    <t>Мавритания</t>
  </si>
  <si>
    <t>Сингапур</t>
  </si>
  <si>
    <t>Андорра</t>
  </si>
  <si>
    <t>Дания</t>
  </si>
  <si>
    <t>Мадагаскар</t>
  </si>
  <si>
    <t>Антигуа</t>
  </si>
  <si>
    <t>Джибути</t>
  </si>
  <si>
    <t>Макао</t>
  </si>
  <si>
    <t>Словакия</t>
  </si>
  <si>
    <t>Аргентина</t>
  </si>
  <si>
    <t>Доминика</t>
  </si>
  <si>
    <t>Македония</t>
  </si>
  <si>
    <t>Словения</t>
  </si>
  <si>
    <t>Аруба</t>
  </si>
  <si>
    <t>Доминиканская Р-ка</t>
  </si>
  <si>
    <t>Малави</t>
  </si>
  <si>
    <t>Суринам</t>
  </si>
  <si>
    <t>Афганистан</t>
  </si>
  <si>
    <t>Е</t>
  </si>
  <si>
    <t>Малайзия</t>
  </si>
  <si>
    <t>США</t>
  </si>
  <si>
    <t>Б</t>
  </si>
  <si>
    <t>Египет</t>
  </si>
  <si>
    <t>Мали</t>
  </si>
  <si>
    <t>Т</t>
  </si>
  <si>
    <t>Багамские о-ва</t>
  </si>
  <si>
    <t>З</t>
  </si>
  <si>
    <t>Мальдивы</t>
  </si>
  <si>
    <t>Таити</t>
  </si>
  <si>
    <t>Бангладеш</t>
  </si>
  <si>
    <t>Мальта</t>
  </si>
  <si>
    <t>Таиланд</t>
  </si>
  <si>
    <t>Барбадос</t>
  </si>
  <si>
    <t>Замбия</t>
  </si>
  <si>
    <t>Марокко</t>
  </si>
  <si>
    <t>Тайвань</t>
  </si>
  <si>
    <t>Барбуда</t>
  </si>
  <si>
    <t>Мартиника</t>
  </si>
  <si>
    <t>Танзания</t>
  </si>
  <si>
    <t>Бахрейн</t>
  </si>
  <si>
    <t>И</t>
  </si>
  <si>
    <t>Мексика</t>
  </si>
  <si>
    <t>Того</t>
  </si>
  <si>
    <t>Белиз</t>
  </si>
  <si>
    <t>Израиль</t>
  </si>
  <si>
    <t>Мозамбик</t>
  </si>
  <si>
    <t>Тонга</t>
  </si>
  <si>
    <t>Бельгия</t>
  </si>
  <si>
    <t>Индия</t>
  </si>
  <si>
    <t>Молдова</t>
  </si>
  <si>
    <t>Бенин</t>
  </si>
  <si>
    <t>Индонезия</t>
  </si>
  <si>
    <t>Монако</t>
  </si>
  <si>
    <t>Тунис</t>
  </si>
  <si>
    <t>Иордания</t>
  </si>
  <si>
    <t>Монголия</t>
  </si>
  <si>
    <r>
      <t xml:space="preserve">Туркменистан </t>
    </r>
    <r>
      <rPr>
        <b/>
        <i/>
        <sz val="8"/>
        <rFont val="Arial Cyr"/>
        <charset val="204"/>
      </rPr>
      <t>*</t>
    </r>
  </si>
  <si>
    <t>Бермудские о-ва</t>
  </si>
  <si>
    <t>Ирак</t>
  </si>
  <si>
    <t>Монтенегро (Черногория)</t>
  </si>
  <si>
    <t>Турция</t>
  </si>
  <si>
    <t>Болгария</t>
  </si>
  <si>
    <t>Монтсеррат</t>
  </si>
  <si>
    <t>У</t>
  </si>
  <si>
    <t>Боливия</t>
  </si>
  <si>
    <t>Ирландия</t>
  </si>
  <si>
    <t>Мьянма (Бирма)</t>
  </si>
  <si>
    <t>Уганда</t>
  </si>
  <si>
    <t>Бонайре</t>
  </si>
  <si>
    <t>Исландия</t>
  </si>
  <si>
    <t>Н</t>
  </si>
  <si>
    <t>Уругвай</t>
  </si>
  <si>
    <t>Босния и Герцеговина</t>
  </si>
  <si>
    <t>Испания</t>
  </si>
  <si>
    <t>Намибия</t>
  </si>
  <si>
    <t>Ф</t>
  </si>
  <si>
    <t>Ботсвана</t>
  </si>
  <si>
    <t>Италия</t>
  </si>
  <si>
    <t>Непал</t>
  </si>
  <si>
    <t>Фиджи</t>
  </si>
  <si>
    <t>Бразилия</t>
  </si>
  <si>
    <t>Нигер</t>
  </si>
  <si>
    <t>Филиппины</t>
  </si>
  <si>
    <t>Бруней</t>
  </si>
  <si>
    <t>Нигерия</t>
  </si>
  <si>
    <t>Финляндия</t>
  </si>
  <si>
    <t>Буркина-Фасо</t>
  </si>
  <si>
    <t>К</t>
  </si>
  <si>
    <t>Нидерланды</t>
  </si>
  <si>
    <t>Франция</t>
  </si>
  <si>
    <t>Бурунди</t>
  </si>
  <si>
    <t>Камбоджа</t>
  </si>
  <si>
    <t>Никарагуа</t>
  </si>
  <si>
    <t>Французская Гайана</t>
  </si>
  <si>
    <t>Бутан</t>
  </si>
  <si>
    <t>Камерун</t>
  </si>
  <si>
    <t>Новая Зеландия</t>
  </si>
  <si>
    <t>Французская Полинезия</t>
  </si>
  <si>
    <t>В</t>
  </si>
  <si>
    <t>Канада</t>
  </si>
  <si>
    <t>Новая Каледония</t>
  </si>
  <si>
    <t>Х</t>
  </si>
  <si>
    <t>Вануату</t>
  </si>
  <si>
    <t>Канарские острова</t>
  </si>
  <si>
    <t>Норвегия</t>
  </si>
  <si>
    <t>Хорватия</t>
  </si>
  <si>
    <t>Ватикан</t>
  </si>
  <si>
    <t>Катар</t>
  </si>
  <si>
    <t>О</t>
  </si>
  <si>
    <t>Ч</t>
  </si>
  <si>
    <t>Великобритания</t>
  </si>
  <si>
    <t>Кения</t>
  </si>
  <si>
    <t>ОАЭ</t>
  </si>
  <si>
    <t>Чад</t>
  </si>
  <si>
    <t>Венгрия</t>
  </si>
  <si>
    <t>Кипр</t>
  </si>
  <si>
    <t>Оман</t>
  </si>
  <si>
    <t>Венесуэла</t>
  </si>
  <si>
    <t>П</t>
  </si>
  <si>
    <t>Чехия</t>
  </si>
  <si>
    <t>Виргинские о-ва</t>
  </si>
  <si>
    <t>Пакистан</t>
  </si>
  <si>
    <t>Чили</t>
  </si>
  <si>
    <t>Вьетнам</t>
  </si>
  <si>
    <t>Колумбия</t>
  </si>
  <si>
    <t>Палау</t>
  </si>
  <si>
    <t>Ш</t>
  </si>
  <si>
    <t>Г</t>
  </si>
  <si>
    <t>Конго</t>
  </si>
  <si>
    <t>Швейцария</t>
  </si>
  <si>
    <t>Габон</t>
  </si>
  <si>
    <t>Корея Южная</t>
  </si>
  <si>
    <t>Панама</t>
  </si>
  <si>
    <t>Швеция</t>
  </si>
  <si>
    <t>Гаити</t>
  </si>
  <si>
    <t>Коста-Рика</t>
  </si>
  <si>
    <t>Папуа-Новая Гвинея</t>
  </si>
  <si>
    <t>Шри-Ланка</t>
  </si>
  <si>
    <t>Гайана</t>
  </si>
  <si>
    <t>Косово</t>
  </si>
  <si>
    <t>Парагвай</t>
  </si>
  <si>
    <t>Э</t>
  </si>
  <si>
    <t>Гамбия</t>
  </si>
  <si>
    <t>Кувейт</t>
  </si>
  <si>
    <t>Перу</t>
  </si>
  <si>
    <t>Эквадор</t>
  </si>
  <si>
    <t>Гана</t>
  </si>
  <si>
    <t>Кука о-ва</t>
  </si>
  <si>
    <t>Польша</t>
  </si>
  <si>
    <t>Эстония</t>
  </si>
  <si>
    <t>Гваделупа</t>
  </si>
  <si>
    <t>Курасао</t>
  </si>
  <si>
    <t>Португалия</t>
  </si>
  <si>
    <t>Эфиопия</t>
  </si>
  <si>
    <t>Гватемала</t>
  </si>
  <si>
    <t>Л</t>
  </si>
  <si>
    <t>Пуэрто-Рико</t>
  </si>
  <si>
    <t>Ю</t>
  </si>
  <si>
    <t>Гвинея</t>
  </si>
  <si>
    <t>Латвия</t>
  </si>
  <si>
    <t>Р</t>
  </si>
  <si>
    <t>ЮАР</t>
  </si>
  <si>
    <t>Гвинея-Бисау</t>
  </si>
  <si>
    <t>Лаос</t>
  </si>
  <si>
    <t>Реюньон</t>
  </si>
  <si>
    <t>Я</t>
  </si>
  <si>
    <t>Германия</t>
  </si>
  <si>
    <t>Лесото</t>
  </si>
  <si>
    <t>Руанда</t>
  </si>
  <si>
    <t>Ямайка</t>
  </si>
  <si>
    <t>Гибралтар</t>
  </si>
  <si>
    <t>Либерия</t>
  </si>
  <si>
    <t>Румыния</t>
  </si>
  <si>
    <t>Япония</t>
  </si>
  <si>
    <t>Доставка в страны, не указанные в данном перечне, осуществляется по предварительному запросу</t>
  </si>
  <si>
    <t>* К отправке в Туркменистан принимаются только документы весом не более 2,00 кг</t>
  </si>
  <si>
    <t>Документы / Documents</t>
  </si>
  <si>
    <t>Стоимость доставки документов весом свыше 2,00 кг рассчитывается по тарифам посылок.</t>
  </si>
  <si>
    <t>Посылки / Parcels</t>
  </si>
  <si>
    <t>+ 1,0 кг</t>
  </si>
  <si>
    <t>Отправления за пределы Таможенного союза могут облагаться таможенными пошлинами по прибытию в страну назначения</t>
  </si>
  <si>
    <t>Все тарифы включают вызов курьера и стандартный упаковочный материал.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</si>
  <si>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</t>
  </si>
  <si>
    <t>Международный тариф "Экспресс" на курьерскую доставку при отправках из прочих населённых пунктов Казахстана</t>
  </si>
  <si>
    <t>Тарифные зоны доставки в Беларусь, Россию и страны Средней Азии</t>
  </si>
  <si>
    <t>Город</t>
  </si>
  <si>
    <t>Беларусь</t>
  </si>
  <si>
    <t>Горно-Алтайск</t>
  </si>
  <si>
    <t>Нарьян-Мар</t>
  </si>
  <si>
    <t>Сыктывкар</t>
  </si>
  <si>
    <t>Брест</t>
  </si>
  <si>
    <t>Евпатория</t>
  </si>
  <si>
    <t>Находка</t>
  </si>
  <si>
    <t>Таганрог</t>
  </si>
  <si>
    <t>Витебск</t>
  </si>
  <si>
    <t>Екатеринбург</t>
  </si>
  <si>
    <t>Нижневартовск</t>
  </si>
  <si>
    <t>Тамбов</t>
  </si>
  <si>
    <t>Гомель</t>
  </si>
  <si>
    <t>Жуковский</t>
  </si>
  <si>
    <t>Нижний Новгород</t>
  </si>
  <si>
    <t>Тверь</t>
  </si>
  <si>
    <t>Гродно</t>
  </si>
  <si>
    <t>Зеленоград</t>
  </si>
  <si>
    <t>Нижний Тагил</t>
  </si>
  <si>
    <t>Тольятти</t>
  </si>
  <si>
    <t>Минск</t>
  </si>
  <si>
    <t>Иваново</t>
  </si>
  <si>
    <t>Новгород</t>
  </si>
  <si>
    <t>Томск</t>
  </si>
  <si>
    <t>Могилев</t>
  </si>
  <si>
    <t>Ижевск</t>
  </si>
  <si>
    <t>Новокузнецк</t>
  </si>
  <si>
    <t>Туапсе</t>
  </si>
  <si>
    <t>Кыргызстан</t>
  </si>
  <si>
    <t>Йошкар-Ола</t>
  </si>
  <si>
    <t>Новороссийск</t>
  </si>
  <si>
    <t>Тула</t>
  </si>
  <si>
    <t>Балыкчи</t>
  </si>
  <si>
    <t>Иркутск</t>
  </si>
  <si>
    <t>Новосибирск</t>
  </si>
  <si>
    <t>Тюмень</t>
  </si>
  <si>
    <t>Баткен</t>
  </si>
  <si>
    <t>Истра</t>
  </si>
  <si>
    <t>Новотроицк</t>
  </si>
  <si>
    <t>Улан-Удэ</t>
  </si>
  <si>
    <t>Бишкек</t>
  </si>
  <si>
    <t>Казань</t>
  </si>
  <si>
    <t>Новый Уренгой</t>
  </si>
  <si>
    <t>Ульяновск</t>
  </si>
  <si>
    <t>Джалал-Абад</t>
  </si>
  <si>
    <t>Калининград</t>
  </si>
  <si>
    <t>Норильск</t>
  </si>
  <si>
    <t>Уфа</t>
  </si>
  <si>
    <t>Каракол</t>
  </si>
  <si>
    <t>Калуга</t>
  </si>
  <si>
    <t>Омск</t>
  </si>
  <si>
    <t>Феодосия</t>
  </si>
  <si>
    <t>Нарын</t>
  </si>
  <si>
    <t>Каменск-Уральский</t>
  </si>
  <si>
    <t>Орёл</t>
  </si>
  <si>
    <t>Хабаровск</t>
  </si>
  <si>
    <t>Ош</t>
  </si>
  <si>
    <t>Кемерово</t>
  </si>
  <si>
    <t>Оренбург</t>
  </si>
  <si>
    <t>Ханты-Мансийск</t>
  </si>
  <si>
    <t>Талас</t>
  </si>
  <si>
    <t>Керчь</t>
  </si>
  <si>
    <t>Орск</t>
  </si>
  <si>
    <t>Чебоксары</t>
  </si>
  <si>
    <t>Токмак</t>
  </si>
  <si>
    <t>Киров</t>
  </si>
  <si>
    <t>Пенза</t>
  </si>
  <si>
    <t>Челябинск</t>
  </si>
  <si>
    <t>Чолпон-Ата</t>
  </si>
  <si>
    <t>Комсомольск-на-Амуре</t>
  </si>
  <si>
    <t>Пермь</t>
  </si>
  <si>
    <t>Череповец</t>
  </si>
  <si>
    <t>Россия</t>
  </si>
  <si>
    <t>Королёв</t>
  </si>
  <si>
    <t>Петрозаводск</t>
  </si>
  <si>
    <t>Черкесск</t>
  </si>
  <si>
    <t>Абакан</t>
  </si>
  <si>
    <t>Кострома</t>
  </si>
  <si>
    <t>Петропавловск-Камчатский</t>
  </si>
  <si>
    <t>Чита</t>
  </si>
  <si>
    <t>Азов</t>
  </si>
  <si>
    <t>Красногорск</t>
  </si>
  <si>
    <t>Подольск</t>
  </si>
  <si>
    <t>Щёлково</t>
  </si>
  <si>
    <t>Анадырь</t>
  </si>
  <si>
    <t>Краснодар</t>
  </si>
  <si>
    <t>Псков</t>
  </si>
  <si>
    <t>Элиста</t>
  </si>
  <si>
    <t>Армавир</t>
  </si>
  <si>
    <t>Красноярск</t>
  </si>
  <si>
    <t>Пушкино</t>
  </si>
  <si>
    <t>Южно-Сахалинск</t>
  </si>
  <si>
    <t>Архангельск</t>
  </si>
  <si>
    <t>Курган</t>
  </si>
  <si>
    <t>Раменское</t>
  </si>
  <si>
    <t>Якутск</t>
  </si>
  <si>
    <t>Астрахань</t>
  </si>
  <si>
    <t>Курск</t>
  </si>
  <si>
    <t>Раос</t>
  </si>
  <si>
    <t>Ялта</t>
  </si>
  <si>
    <t>Барнаул</t>
  </si>
  <si>
    <t>Кызыл</t>
  </si>
  <si>
    <t>Реутов</t>
  </si>
  <si>
    <t>Ярославль</t>
  </si>
  <si>
    <t>Белгород</t>
  </si>
  <si>
    <t>Липецк</t>
  </si>
  <si>
    <t>Ростов-на-Дону</t>
  </si>
  <si>
    <t>Узбекистан</t>
  </si>
  <si>
    <t>Бийск</t>
  </si>
  <si>
    <t>Магадан</t>
  </si>
  <si>
    <t>Рубцовск</t>
  </si>
  <si>
    <t>Андижан</t>
  </si>
  <si>
    <t>Биробиджан</t>
  </si>
  <si>
    <t>Магнитогорск</t>
  </si>
  <si>
    <t>Рязань</t>
  </si>
  <si>
    <t>Бухара</t>
  </si>
  <si>
    <t>Благовещенск</t>
  </si>
  <si>
    <t>Майкоп</t>
  </si>
  <si>
    <t>Самара</t>
  </si>
  <si>
    <t>Гулистан</t>
  </si>
  <si>
    <t>Братск</t>
  </si>
  <si>
    <t>Махачкала</t>
  </si>
  <si>
    <t>Санкт-Петербург</t>
  </si>
  <si>
    <t>Джизак</t>
  </si>
  <si>
    <t>Брянск</t>
  </si>
  <si>
    <t>Миасс</t>
  </si>
  <si>
    <t>Саранск</t>
  </si>
  <si>
    <t>Карши</t>
  </si>
  <si>
    <t>Великий Новгород</t>
  </si>
  <si>
    <t>Минеральные Воды</t>
  </si>
  <si>
    <t>Саратов</t>
  </si>
  <si>
    <t>Навои</t>
  </si>
  <si>
    <t>Владивосток</t>
  </si>
  <si>
    <t>Москва</t>
  </si>
  <si>
    <t>Севастополь</t>
  </si>
  <si>
    <t>Наманган</t>
  </si>
  <si>
    <t>Владикавказ</t>
  </si>
  <si>
    <t>Московская область</t>
  </si>
  <si>
    <t>Симферополь</t>
  </si>
  <si>
    <t>Нукус</t>
  </si>
  <si>
    <t>Владимир</t>
  </si>
  <si>
    <t>Мурманск</t>
  </si>
  <si>
    <t>Смоленск</t>
  </si>
  <si>
    <t>Самарканд</t>
  </si>
  <si>
    <t>Волгоград</t>
  </si>
  <si>
    <t>Мытищи</t>
  </si>
  <si>
    <t>Сочи</t>
  </si>
  <si>
    <t>Ташкент</t>
  </si>
  <si>
    <t>Волжский</t>
  </si>
  <si>
    <t>Набережные Челны</t>
  </si>
  <si>
    <t>Ставрополь</t>
  </si>
  <si>
    <t>Термез</t>
  </si>
  <si>
    <t>Вологда</t>
  </si>
  <si>
    <t>Назрань</t>
  </si>
  <si>
    <t>Ступино</t>
  </si>
  <si>
    <t>Ургенч</t>
  </si>
  <si>
    <t>Воронеж</t>
  </si>
  <si>
    <t>Нальчик</t>
  </si>
  <si>
    <t>Сургут</t>
  </si>
  <si>
    <t>Фергана</t>
  </si>
  <si>
    <t>Азербайджан, Армения, Грузия, Молдова, Прибалтика и Туркменистан находятся в разделе "Международные тарифные зоны"</t>
  </si>
  <si>
    <t>Отправки в Украину временно не принимаются к перевозке</t>
  </si>
  <si>
    <t xml:space="preserve">Для корректного расчёта стоимости рекомендуем воспользоваться тарифным калькулятором на сайте www.avislogistics.kz </t>
  </si>
  <si>
    <t>Тариф Эконом на доставку в регионы РФ рассчитывается индивидуально.</t>
  </si>
  <si>
    <t>Отправления за пределы Таможенного союза могут облагаться таможенными пошлинами по прибытию в страну назначения.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</si>
  <si>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(длинна (см) х высота(см) х ширина(см)) / 5000 = вес отправления.</t>
  </si>
  <si>
    <t>Тариф "Экспресс" на курьерскую доставку в Беларусь, Россию и страны Средней Азии из прочих населённых пунктов Казахстана</t>
  </si>
  <si>
    <t>Сан Марино</t>
  </si>
  <si>
    <t>Азербайджан</t>
  </si>
  <si>
    <t>Армения</t>
  </si>
  <si>
    <t>Китай</t>
  </si>
  <si>
    <t>Таджикистан</t>
  </si>
  <si>
    <t>Вес, кг</t>
  </si>
  <si>
    <t>Зона В</t>
  </si>
  <si>
    <t>Зона С</t>
  </si>
  <si>
    <t>≤ 1,00 кг</t>
  </si>
  <si>
    <t>≤ 2,00 кг</t>
  </si>
  <si>
    <t>≤ 3,00 кг</t>
  </si>
  <si>
    <t>≤ 4,00 кг</t>
  </si>
  <si>
    <t>≤ 5,00 кг</t>
  </si>
  <si>
    <t>≤ 10,00 кг</t>
  </si>
  <si>
    <t>≤ 30 кг, 0,15 м3</t>
  </si>
  <si>
    <t>31-100кг,0,5м3</t>
  </si>
  <si>
    <t>301-500кг, 1,5-2,5м3</t>
  </si>
  <si>
    <t>501-1000кг,2,51-5,0м3</t>
  </si>
  <si>
    <t>Расчёт стоимости доставки ведётся по большему из двух значений веса – фактического или объёмного. Расчет объёмного веса производится по формуле (длина(см) х высота(см) х ширина(см)) / 5000 = вес отправления.</t>
  </si>
  <si>
    <t>Внутригородские тарифные зоны</t>
  </si>
  <si>
    <t>все адреса в пределах городской черты, промзона, пос. Вмирзак, Баркудук</t>
  </si>
  <si>
    <t>Аэропорт, пос. Тельман, Акшакур</t>
  </si>
  <si>
    <t>Все адреса в пределах городской черты, промзона, Заречный, Жилянка, ГМЗ, Жана Коныс, базы 41-го разъезда до с. Ясное</t>
  </si>
  <si>
    <t>пос. Саздинский, Курайли, Корашасай, Кенеса Нокина, Пригородный-1, Заречный 1-2-3-4-5., с. Ясное 1-2-3 (41-ый  разъезд)</t>
  </si>
  <si>
    <t>мкр. Думан1,2; Самал3, Коктобе2; Таулы; Казахфильм; ул. Нурмухамедова; ул. Мамыш Улы; ул. Серикова; мкр. Ужет; мкр. Карасу; Пятилетка Турксиба; до Покровки; Аэропорт; мкр. Нуршашкан</t>
  </si>
  <si>
    <t>Все адреса в пределах городской черты, Таскала, Холодильник, Акжайык, Курсай, Водниково, Кокарна,Геолог, Томарлы, Коктем, Жулдыз</t>
  </si>
  <si>
    <t>Ракуша, Балауса, Оркен, Телевышка, промзон, Бурпосёлок, Талгарьян, Бесикты, Аксай, Бирлик, Жулдыз-2,3, 66 зона, СИЗО</t>
  </si>
  <si>
    <t>р-н им. Казыбек би (Михайловка, Федоровка, Юго-Восток, р-н ХМК, Кирзавод)</t>
  </si>
  <si>
    <t>Майкудук, Пришахтинск, Сортировка, мкр. Кунгей, прочие адреса в пределах городской черты</t>
  </si>
  <si>
    <t>Все адреса в пределах городской черты, Северная промзона, Восточная промзона, Кокшетау-2 (пос. Станционный)</t>
  </si>
  <si>
    <t>Аэропорт, с. Красный Яр, пос. Садовое, пос. Гранитный, Кокшетау-2 (пос.Станционный)</t>
  </si>
  <si>
    <t>Все адреса в пределах городской черты, Амангельды, Аэропорт, Заречный, Затобольск, Дружба, Геофизик, Красный партизан, Киевский, Мичурино</t>
  </si>
  <si>
    <t>Рудный, пос. Кунай, Жамбыл</t>
  </si>
  <si>
    <t>все адреса в пределах городской черты</t>
  </si>
  <si>
    <t>Жаппасбай батыра-Ынтымак-Мунайши, Саламатова-Каратогай, Шаменулы-Кокенова-ул .Титова, п. Гагарина, п. Титова, п.Тасбогет</t>
  </si>
  <si>
    <t>Районы Сарыаркинский, Алматинский и Есильский, промзона, пос. Железнодорожный, Учхоз, Заречный, Юго-Восток, Коктал, Комсомольский, Силикатный</t>
  </si>
  <si>
    <t>Аэропорт, пос. Мичурино, Ильинка</t>
  </si>
  <si>
    <t>Все адреса в пределах городской черты, Северная, Центральная и Восточная промышленные зоны, Лесозавод, р-н ТОО "Алюминий Казахстана"</t>
  </si>
  <si>
    <t>Аэропорт, с. Павлодарское, пос. Жанаул, р-н Электролизного завода (ПКЭЗ)</t>
  </si>
  <si>
    <t>Все адреса в пределах городской черты, пос. Солнечный, пос. Заречный, Хромзавод, сан. Солнечный, пос. Мичурино, 2632 км.</t>
  </si>
  <si>
    <t>Аэропорт</t>
  </si>
  <si>
    <t>Все адреса в пределах городской черты, Левый берег, Красный Кордон, Контрольный,  Массив Восточный, п.Восход, Мирный</t>
  </si>
  <si>
    <t>Аэропорт, пос.  Жоламан, Холодный ключ,  Западный промузел</t>
  </si>
  <si>
    <t>все адреса в пределах городской черты, Промзона, Сахпоселок, район «за линией», Красная звезда</t>
  </si>
  <si>
    <t>Шолдала, ГРЭС, Кумшагал, Турксиб, Акбулым, Бектобе, Бесагаш, Гродиково, Жалпак-тобе, Кызыл-дихан, пос. Солнечный, Турксиб, Айша биби, Шайкорык</t>
  </si>
  <si>
    <t>Все адреса в пределах городской черты, Зачаганск, Плодовощной,  Самал-3, Асан</t>
  </si>
  <si>
    <t>Аэропорт, пос. Подстепное, СХИ, Меловые Горки, Желаево, пос. Селекционый</t>
  </si>
  <si>
    <t>Все адреса в пределах городской черты, районы AES УК ГЭС, УК ТМК, АО "Арматурный завод"</t>
  </si>
  <si>
    <t>Аэропорт, районы AES, УК ГЭС, УК ТМК, Ахмирово, Новая  Согра</t>
  </si>
  <si>
    <t>Все адреса в пределах городской черты</t>
  </si>
  <si>
    <t>Аэропорт, промзона, алматинская трасса, Самал, Нурсат,Тулпар, Наурыз, Чапаевка,Тельмана, Бекжан, Казыгурт, Забадам, Казбакалейторг, Пахтакор</t>
  </si>
  <si>
    <t>Тарифы Экспресс / Эконом на внутригородскую курьерскую доставку</t>
  </si>
  <si>
    <t>Все тарифы применяются только в тех городах, где находятся офисы Avis Logistics. Стоимость внутригородской доставки в пределах других городов Республики Казахстан, а также безадресных рассылок рассчитывается по индивидуальному запросу.</t>
  </si>
  <si>
    <t>Если любой из габаритов отправки превышает 100 сантиметров либо вес одного места превышает 70 кг, то к стоимости доставки добавляется 50% от базового тарифа.</t>
  </si>
  <si>
    <t>Тариф "Блиц" рассчитывается как двойной тариф "Экспресс".</t>
  </si>
  <si>
    <t>При приеме отправлений после 12:00 по местному времени день приема в срок доставки не входит.</t>
  </si>
  <si>
    <t>Все тарифы включают  НДС, вызов курьера, стандартный упаковочный материал и получение уведомления о доставке (кроме возвратного оригинала курьерской накладной).</t>
  </si>
  <si>
    <r>
      <t xml:space="preserve">Адреса, которые не входят в перечень Городских зон, но при этом находятся в черте Города, </t>
    </r>
    <r>
      <rPr>
        <b/>
        <i/>
        <u/>
        <sz val="10"/>
        <rFont val="Arial Cyr"/>
        <charset val="204"/>
      </rPr>
      <t>НЕ</t>
    </r>
    <r>
      <rPr>
        <i/>
        <sz val="10"/>
        <rFont val="Arial Cyr"/>
        <charset val="204"/>
      </rPr>
      <t xml:space="preserve"> могут быть расчитаны по Тарифам  внутригородской доставки.</t>
    </r>
  </si>
  <si>
    <t>Все тарифы включают  НДС.</t>
  </si>
  <si>
    <t>Вес отправления округляется в большую сторону до ближайшего целого значения</t>
  </si>
  <si>
    <t>возврат отправителю за его счёт</t>
  </si>
  <si>
    <t>Хранение, свыше 30-и календарных дней</t>
  </si>
  <si>
    <t>100 тг / день</t>
  </si>
  <si>
    <t>Хранение, свыше 7-х календарных дней</t>
  </si>
  <si>
    <t>бесплатно</t>
  </si>
  <si>
    <t>Хранение, до 7-х календарных дней</t>
  </si>
  <si>
    <t>Хранение отправлений в пунктах выдачи</t>
  </si>
  <si>
    <t>Стоимость нестандартной упаковки необходимо согласовывать с менеджерами в офисах Avis Logistics.</t>
  </si>
  <si>
    <t>1200*800</t>
  </si>
  <si>
    <t>Европаллета (стрейч плёнка или стяжная лента)</t>
  </si>
  <si>
    <t>1 куб.метр</t>
  </si>
  <si>
    <t>Жесткий короб (OSB, брус 40*40, пенопласт) - ЖКБ</t>
  </si>
  <si>
    <t>Жесткий каркас (доска 100*20, брус 40*40) - ЖКС</t>
  </si>
  <si>
    <t xml:space="preserve">Мин. ставка 7000 </t>
  </si>
  <si>
    <t>Мягкая упаковка (Воздушно-пузырчатая, пенопласт)</t>
  </si>
  <si>
    <t>800*1250</t>
  </si>
  <si>
    <t xml:space="preserve">Мешок полипропиленовый </t>
  </si>
  <si>
    <t>550*1050</t>
  </si>
  <si>
    <t>Минимальная ставка 600 тг за 1 кв. метр</t>
  </si>
  <si>
    <t>2000*1000</t>
  </si>
  <si>
    <t>Гофрокатон листовой</t>
  </si>
  <si>
    <t>Минимальная ставка 300 тг за 1 погонный метр</t>
  </si>
  <si>
    <t>120*100</t>
  </si>
  <si>
    <t>Воздушно-пузырчатая пленка</t>
  </si>
  <si>
    <t>V вес = 7,90 кг</t>
  </si>
  <si>
    <t>Внешние размеры: 575*330*208 мм</t>
  </si>
  <si>
    <t xml:space="preserve">Коробка конструктор (гофрокартон) Ф5 </t>
  </si>
  <si>
    <t>V вес = 4,10 кг</t>
  </si>
  <si>
    <t>Внешние размеры:  460*286*156 мм</t>
  </si>
  <si>
    <t xml:space="preserve">Коробка конструктор (гофрокартон) Ф4  </t>
  </si>
  <si>
    <t>V вес = 3,00 кг</t>
  </si>
  <si>
    <t>Внешние размеры: 360*260*160 мм</t>
  </si>
  <si>
    <t xml:space="preserve">Коробка конструктор (гофрокартон) Ф3  </t>
  </si>
  <si>
    <t>V вес = 1,15 кг</t>
  </si>
  <si>
    <t>Внешние размеры: 325*222*79 мм</t>
  </si>
  <si>
    <t xml:space="preserve">Коробка конструктор (гофрокартон) Ф2  </t>
  </si>
  <si>
    <t>V вес = 0,75 кг</t>
  </si>
  <si>
    <t>Внешние размеры: 260*180*79 мм</t>
  </si>
  <si>
    <t xml:space="preserve">Коробка конструктор (гофрокартон) Ф1  </t>
  </si>
  <si>
    <t>V вес = 13,55 кг</t>
  </si>
  <si>
    <t>595*335*340</t>
  </si>
  <si>
    <t xml:space="preserve">Коробка (гофрокартон)  </t>
  </si>
  <si>
    <t>V вес = 8,2 кг</t>
  </si>
  <si>
    <t>450*350*260</t>
  </si>
  <si>
    <t>Примечание</t>
  </si>
  <si>
    <t>Стоимость, тенге</t>
  </si>
  <si>
    <t>Размеры, мм</t>
  </si>
  <si>
    <t>Вид упаковки</t>
  </si>
  <si>
    <t>Тарифы на дополнительную упаковку</t>
  </si>
  <si>
    <t>700 тг / 1 палетоместо в сутки</t>
  </si>
  <si>
    <t>Хранение грузов</t>
  </si>
  <si>
    <t>200 тг / шт</t>
  </si>
  <si>
    <t>Отправка сканированной копии накладной с данными о доставке на e-mail</t>
  </si>
  <si>
    <t>= стоимости доставки конверта весом до 0,50 кг по аналогичному направлению</t>
  </si>
  <si>
    <t>Возврат оригинала накладной с данными о доставке</t>
  </si>
  <si>
    <t>в соответствии с тарифами на Экспресс-доставку</t>
  </si>
  <si>
    <t>Переадресация отправлений в другой город</t>
  </si>
  <si>
    <t>+ 50% к базовому тарифу за доставку</t>
  </si>
  <si>
    <t>Переадресация отправлений в пределах городов стран СНГ и дальнего зарубежья</t>
  </si>
  <si>
    <t>в соответствии с тарифами на внутригородскую доставку</t>
  </si>
  <si>
    <t>Переадресация отправлений в пределах городов Республики Казахстан</t>
  </si>
  <si>
    <t>Доставка отправлений лично в руки</t>
  </si>
  <si>
    <t>Pick-up / Доставка отправлений в нерабочее время, выходной или праздничный день (кроме Блиц-отправлений, коэффициент к которым не применяется)</t>
  </si>
  <si>
    <t>Описание услуги</t>
  </si>
  <si>
    <t>Дополнительные услуги</t>
  </si>
  <si>
    <t xml:space="preserve">Мин. ставка 10000 </t>
  </si>
  <si>
    <t>Мин. ставка 13000</t>
  </si>
  <si>
    <t>"Склад - Склад"</t>
  </si>
  <si>
    <t>Дверь - Дверь</t>
  </si>
  <si>
    <t>"Склад - Склад"  **</t>
  </si>
  <si>
    <t>* Составляющая "Склад" применяется ТОЛЬКО для отправок из областных центров Казахстана, в которых есть филиалы (пункты приёма) отправлений.</t>
  </si>
  <si>
    <t>≤ 0,50 кг</t>
  </si>
  <si>
    <t>Астана</t>
  </si>
  <si>
    <t>не применяется</t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</si>
  <si>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в Бишкек, Москву и Ташкент и подразумевает передачу Отправителем курьерских отправлений, а также выдачу их Получателю непосредственно в офисах Avis Logistics либо его партнёров.</t>
    </r>
  </si>
  <si>
    <t>Аэропорт г. Астана</t>
  </si>
  <si>
    <t>Акмолинская область (ч/з Астану)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</si>
  <si>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х высота (см) х ширина (см)) / 5000 = вес отправления.</t>
  </si>
  <si>
    <t>Соломоновы о-ва</t>
  </si>
  <si>
    <t>Малау</t>
  </si>
  <si>
    <t>Сьерра Леоне</t>
  </si>
  <si>
    <t>Микронезия</t>
  </si>
  <si>
    <t>Тринидад и Тобаго</t>
  </si>
  <si>
    <t>Невис</t>
  </si>
  <si>
    <t>Кирибати</t>
  </si>
  <si>
    <t>Ц</t>
  </si>
  <si>
    <t>Центр-Африканская респ-ка</t>
  </si>
  <si>
    <t>Коморские о-ва</t>
  </si>
  <si>
    <t>Куба</t>
  </si>
  <si>
    <t>Эритрея</t>
  </si>
  <si>
    <t>Международный тариф "Экспресс" на курьерскую доставку из областных центров РК (кроме Конаева)</t>
  </si>
  <si>
    <t>Украина</t>
  </si>
  <si>
    <t>Термоконтейнеры и хладоэлементы предоставляются исключительно Заказчиком в зависимости от нужного температурного режима.</t>
  </si>
  <si>
    <t>Адреса внутри периметра улиц: Восточная объездная - Аль-Фараби - Саина - Джандосова - Момыш-улы - Рыскулова - Северное кольцо - Бекмаханова - Майлина - Кульджинский тракт</t>
  </si>
  <si>
    <t>Тариф "Экспресс" на курьерскую доставку в Беларусь, Россию и страны Средней Азии из областных центров РК (кроме Конаева)</t>
  </si>
  <si>
    <t>Прочие города, не указанные в данном перечне, относятся к 6-ой тарифной зоне.</t>
  </si>
  <si>
    <t>Зона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</si>
</sst>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#,##0\ [$₸-43F]"/>
  </numFmts>
  <fonts count="25" x14ac:knownFonts="1">
    <font>
      <sz val="10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0"/>
      <color rgb="FFFF0000"/>
      <name val="Arial Cyr"/>
      <charset val="204"/>
    </font>
    <font>
      <sz val="10"/>
      <name val="Calibri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name val="Arial"/>
      <family val="2"/>
      <charset val="204"/>
    </font>
    <font>
      <sz val="10"/>
      <name val="Arial Cyr"/>
      <charset val="204"/>
    </font>
    <font>
      <i/>
      <sz val="11"/>
      <name val="Arial Cyr"/>
      <charset val="204"/>
    </font>
    <font>
      <b/>
      <i/>
      <sz val="10"/>
      <name val="Arial"/>
      <family val="2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0"/>
      <color rgb="FFFF0000"/>
      <name val="Arial Cyr"/>
      <charset val="204"/>
    </font>
    <font>
      <i/>
      <sz val="8"/>
      <color rgb="FFFF0000"/>
      <name val="Arial Cyr"/>
      <charset val="204"/>
    </font>
    <font>
      <i/>
      <sz val="9"/>
      <name val="Arial Cyr"/>
      <charset val="204"/>
    </font>
    <font>
      <b/>
      <i/>
      <u/>
      <sz val="10"/>
      <name val="Arial Cyr"/>
      <charset val="204"/>
    </font>
    <font>
      <i/>
      <sz val="10"/>
      <name val="Calibri"/>
      <family val="2"/>
      <charset val="204"/>
    </font>
    <font>
      <i/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65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5" fillId="0" borderId="9" xfId="0" applyFont="1" applyBorder="1" applyAlignment="1">
      <alignment horizontal="left" textRotation="90" wrapText="1"/>
    </xf>
    <xf numFmtId="0" fontId="5" fillId="0" borderId="10" xfId="0" applyFont="1" applyBorder="1" applyAlignment="1">
      <alignment horizontal="left" textRotation="90" wrapText="1"/>
    </xf>
    <xf numFmtId="0" fontId="5" fillId="0" borderId="2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5" fillId="0" borderId="14" xfId="0" applyFont="1" applyBorder="1" applyAlignment="1">
      <alignment horizontal="left" textRotation="90" wrapText="1"/>
    </xf>
    <xf numFmtId="0" fontId="6" fillId="0" borderId="28" xfId="0" applyFont="1" applyBorder="1" applyAlignment="1">
      <alignment horizontal="center" vertical="center"/>
    </xf>
    <xf numFmtId="164" fontId="11" fillId="0" borderId="0" xfId="2" applyFont="1" applyAlignment="1"/>
    <xf numFmtId="16" fontId="0" fillId="0" borderId="0" xfId="0" quotePrefix="1" applyNumberFormat="1"/>
    <xf numFmtId="16" fontId="1" fillId="0" borderId="0" xfId="0" quotePrefix="1" applyNumberFormat="1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5" fontId="1" fillId="2" borderId="2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2" xfId="0" quotePrefix="1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3" borderId="10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quotePrefix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left" textRotation="90" wrapText="1"/>
    </xf>
    <xf numFmtId="0" fontId="5" fillId="0" borderId="38" xfId="0" applyFont="1" applyBorder="1" applyAlignment="1">
      <alignment horizontal="left" textRotation="90" wrapText="1"/>
    </xf>
    <xf numFmtId="0" fontId="16" fillId="0" borderId="10" xfId="1" applyFont="1" applyBorder="1" applyAlignment="1">
      <alignment vertical="center"/>
    </xf>
    <xf numFmtId="0" fontId="5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5" fillId="0" borderId="47" xfId="0" applyFont="1" applyBorder="1"/>
    <xf numFmtId="0" fontId="6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textRotation="255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165" fontId="1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65" fontId="21" fillId="0" borderId="12" xfId="0" applyNumberFormat="1" applyFont="1" applyBorder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2" xfId="0" quotePrefix="1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2" borderId="22" xfId="0" quotePrefix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0" fontId="14" fillId="0" borderId="0" xfId="1"/>
    <xf numFmtId="0" fontId="1" fillId="0" borderId="22" xfId="0" applyFont="1" applyBorder="1" applyAlignment="1">
      <alignment horizontal="center" vertical="center" wrapText="1"/>
    </xf>
    <xf numFmtId="0" fontId="14" fillId="0" borderId="0" xfId="1" applyAlignment="1">
      <alignment vertical="center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3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/>
    <xf numFmtId="0" fontId="14" fillId="0" borderId="0" xfId="1" applyAlignment="1">
      <alignment horizontal="center" vertical="center" wrapText="1"/>
    </xf>
    <xf numFmtId="0" fontId="1" fillId="3" borderId="48" xfId="1" applyFont="1" applyFill="1" applyBorder="1" applyAlignment="1">
      <alignment horizontal="center" vertical="center" wrapText="1"/>
    </xf>
    <xf numFmtId="0" fontId="1" fillId="3" borderId="49" xfId="1" applyFont="1" applyFill="1" applyBorder="1" applyAlignment="1">
      <alignment horizontal="center" vertical="center" wrapText="1"/>
    </xf>
    <xf numFmtId="0" fontId="1" fillId="3" borderId="50" xfId="1" applyFont="1" applyFill="1" applyBorder="1" applyAlignment="1">
      <alignment horizontal="center" vertical="center" wrapText="1"/>
    </xf>
    <xf numFmtId="0" fontId="1" fillId="3" borderId="2" xfId="1" quotePrefix="1" applyFont="1" applyFill="1" applyBorder="1" applyAlignment="1">
      <alignment vertical="center" wrapText="1"/>
    </xf>
    <xf numFmtId="0" fontId="1" fillId="0" borderId="0" xfId="1" quotePrefix="1" applyFont="1" applyAlignment="1">
      <alignment vertical="center" wrapText="1"/>
    </xf>
    <xf numFmtId="0" fontId="1" fillId="3" borderId="0" xfId="1" quotePrefix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9" fontId="1" fillId="0" borderId="0" xfId="3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166" fontId="21" fillId="0" borderId="12" xfId="0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4" fontId="12" fillId="0" borderId="0" xfId="2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11" fillId="0" borderId="0" xfId="2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1" fillId="0" borderId="0" xfId="0" quotePrefix="1" applyNumberFormat="1" applyFont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3" xfId="0" quotePrefix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" fillId="3" borderId="50" xfId="1" applyFont="1" applyFill="1" applyBorder="1" applyAlignment="1">
      <alignment horizontal="center" vertical="center" wrapText="1"/>
    </xf>
    <xf numFmtId="0" fontId="1" fillId="3" borderId="49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166" fontId="24" fillId="0" borderId="12" xfId="0" applyNumberFormat="1" applyFont="1" applyBorder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Процентный" xfId="3" builtinId="5"/>
    <cellStyle name="Финансовый 2" xfId="2" xr:uid="{00000000-0005-0000-0000-000003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al.local\&#1054;&#1090;&#1076;&#1077;&#1083;%20&#1087;&#1088;&#1086;&#1076;&#1072;&#1078;\Courier\Tariffs\&#1040;&#1085;&#1072;&#1083;&#1080;&#1079;%20&#1088;&#1099;&#1085;&#1082;&#1072;\&#1050;&#1072;&#1079;&#1072;&#1093;&#1089;&#1090;&#1072;&#1085;\&#1040;&#1085;&#1072;&#1083;&#1080;&#1079;%20&#1094;&#1077;&#1085;%20&#1082;&#1086;&#1085;&#1082;&#1091;&#1088;&#1077;&#1085;&#1090;&#1086;&#1074;%202021_07\&#1058;&#1072;&#1088;&#1080;&#1092;&#1099;%20Avis%20KZ%20&#1089;%202021_08_16%20(&#1087;&#1088;&#1086;&#1077;&#1082;&#10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54;&#1090;&#1076;&#1077;&#1083;%20&#1087;&#1088;&#1086;&#1076;&#1072;&#1078;\Work\&#1058;&#1072;&#1088;&#1080;&#1092;&#1099;%20Avis%20Logistics%20&#1089;%2001.09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54;&#1073;&#1084;&#1077;&#1085;\&#1054;&#1073;&#1097;&#1080;&#1081;%20KZ%20&#1089;%2001.07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58;&#1072;&#1088;&#1080;&#1092;&#1099;%20Avis%20Logistics%20&#1089;%2001.09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Users\User\Desktop\&#1058;&#1072;&#1088;&#1080;&#1092;&#1099;%20Avis%20&#1089;%2001.09.2018%20&#1088;&#1072;&#1089;&#1095;&#1105;&#1090;&#109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ykov\storage%20(d)\DOCUME~1\712A~1\LOCALS~1\Temp\Rar$DI15.781\&#1055;&#1088;&#1072;&#1081;&#1089;&#1099;%20(&#1088;&#1091;&#108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DOCUME~1\712A~1\LOCALS~1\Temp\Rar$DI15.781\&#1055;&#1088;&#1072;&#1081;&#1089;&#1099;%20(&#1088;&#1091;&#1089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73;&#1084;&#1077;&#1085;\DOCUME~1\712A~1\LOCALS~1\Temp\Rar$DI15.781\&#1055;&#1088;&#1072;&#1081;&#1089;&#1099;%20(&#1088;&#1091;&#1089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al.local\&#1054;&#1073;&#1084;&#1077;&#1085;\DOCUME~1\712A~1\LOCALS~1\Temp\Rar$DI15.781\&#1055;&#1088;&#1072;&#1081;&#1089;&#1099;%20(&#1088;&#1091;&#108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Зоны РК (Экспресс) все"/>
      <sheetName val="Экспресс"/>
      <sheetName val="Экспресс (черновик)"/>
      <sheetName val="Зоны РК (Блиц)"/>
      <sheetName val="Блиц"/>
      <sheetName val="Зоны РК (Эконом краткие)"/>
      <sheetName val="Блиц (черновик)"/>
      <sheetName val="Зоны РК (Эконом)"/>
      <sheetName val="Зоны РК (Эконом) все"/>
      <sheetName val="Эконом"/>
      <sheetName val="Эконом (черновик)"/>
      <sheetName val="Зоны СНГ"/>
      <sheetName val="Зоны СНГ (сортировка)"/>
      <sheetName val="Тар. СНГ (черновик)"/>
      <sheetName val="Тар. СНГ"/>
      <sheetName val="Тар. CIS (не-обл)"/>
      <sheetName val="Импорт из РФ Экспресс"/>
      <sheetName val="Импорт из РФ Эконом"/>
      <sheetName val="Импорт из РФ Эконом (черновик)"/>
      <sheetName val="Зоны WW"/>
      <sheetName val="Тар. WW (черновик)"/>
      <sheetName val="Тар. WW"/>
      <sheetName val="Тар. WW (не-обл)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 краткие)"/>
      <sheetName val="Зоны РК (Эконом)"/>
      <sheetName val="Эконом"/>
      <sheetName val="Зоны СНГ"/>
      <sheetName val="Тар. СНГ"/>
      <sheetName val="Тар. CIS (не-обл)"/>
      <sheetName val="Экспресс импорт из РФ"/>
      <sheetName val="Эконом импорт из РФ"/>
      <sheetName val="Зоны WW"/>
      <sheetName val="Тар. WW"/>
      <sheetName val="Тар. WW (не-обл)"/>
      <sheetName val="Город"/>
      <sheetName val="Доп.услу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 краткие)"/>
      <sheetName val="Зоны РК (Эконом)"/>
      <sheetName val="Эконом"/>
      <sheetName val="Зоны СНГ"/>
      <sheetName val="Тар. СНГ"/>
      <sheetName val="Тар. CIS (не-обл)"/>
      <sheetName val="Экспресс импорт из РФ"/>
      <sheetName val="Эконом импорт из РФ"/>
      <sheetName val="Зоны WW"/>
      <sheetName val="Тар. WW"/>
      <sheetName val="Тар. WW (не-обл)"/>
      <sheetName val="Город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"/>
      <sheetName val="Экспресс"/>
      <sheetName val="Блиц, Магистраль"/>
      <sheetName val="Термо-Блиц"/>
      <sheetName val="Зоны РК (Эконом)"/>
      <sheetName val="Эконом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Упаковка"/>
      <sheetName val="Зоны РК (Эконом краткие)"/>
      <sheetName val="Доп.услуги"/>
      <sheetName val="Зоны РК (Экспресс)"/>
      <sheetName val="Зоны РК (Блиц)"/>
      <sheetName val="Экспресс импорт из РФ"/>
      <sheetName val="Эконом импорт из Р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)"/>
      <sheetName val="Эконом"/>
      <sheetName val="Экспресс импорт из РФ"/>
      <sheetName val="Эконом импорт из РФ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0"/>
  <sheetViews>
    <sheetView zoomScale="110" zoomScaleNormal="110" zoomScaleSheetLayoutView="100" workbookViewId="0">
      <pane ySplit="4" topLeftCell="A8" activePane="bottomLeft" state="frozen"/>
      <selection sqref="A1:D1"/>
      <selection pane="bottomLeft" activeCell="O12" sqref="O12"/>
    </sheetView>
  </sheetViews>
  <sheetFormatPr defaultColWidth="9.109375" defaultRowHeight="13.2" x14ac:dyDescent="0.25"/>
  <cols>
    <col min="1" max="1" width="19.6640625" style="1" customWidth="1"/>
    <col min="2" max="4" width="11.6640625" style="24" customWidth="1"/>
    <col min="5" max="5" width="1.6640625" style="1" customWidth="1"/>
    <col min="6" max="6" width="19.6640625" style="1" customWidth="1"/>
    <col min="7" max="9" width="11.6640625" style="24" customWidth="1"/>
    <col min="10" max="10" width="1.6640625" style="1" customWidth="1"/>
    <col min="11" max="11" width="19.6640625" style="1" customWidth="1"/>
    <col min="12" max="14" width="11.6640625" style="24" customWidth="1"/>
    <col min="15" max="16384" width="9.109375" style="1"/>
  </cols>
  <sheetData>
    <row r="1" spans="1:14" ht="15.6" x14ac:dyDescent="0.3">
      <c r="A1" s="156" t="s">
        <v>298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12.75" customHeight="1" thickBot="1" x14ac:dyDescent="0.3"/>
    <row r="3" spans="1:14" ht="12.75" customHeight="1" x14ac:dyDescent="0.25">
      <c r="A3" s="157" t="s">
        <v>73</v>
      </c>
      <c r="B3" s="159" t="s">
        <v>29</v>
      </c>
      <c r="C3" s="160"/>
      <c r="D3" s="161"/>
      <c r="E3" s="48"/>
      <c r="F3" s="162" t="s">
        <v>73</v>
      </c>
      <c r="G3" s="159" t="s">
        <v>29</v>
      </c>
      <c r="H3" s="160"/>
      <c r="I3" s="161"/>
      <c r="J3" s="48"/>
      <c r="K3" s="164" t="s">
        <v>73</v>
      </c>
      <c r="L3" s="166" t="s">
        <v>29</v>
      </c>
      <c r="M3" s="166"/>
      <c r="N3" s="167"/>
    </row>
    <row r="4" spans="1:14" ht="45" customHeight="1" thickBot="1" x14ac:dyDescent="0.3">
      <c r="A4" s="158"/>
      <c r="B4" s="49" t="s">
        <v>74</v>
      </c>
      <c r="C4" s="49" t="s">
        <v>164</v>
      </c>
      <c r="D4" s="49" t="s">
        <v>165</v>
      </c>
      <c r="E4" s="50"/>
      <c r="F4" s="163"/>
      <c r="G4" s="49" t="s">
        <v>74</v>
      </c>
      <c r="H4" s="49" t="s">
        <v>164</v>
      </c>
      <c r="I4" s="49" t="s">
        <v>165</v>
      </c>
      <c r="J4" s="50"/>
      <c r="K4" s="165"/>
      <c r="L4" s="49" t="s">
        <v>74</v>
      </c>
      <c r="M4" s="49" t="s">
        <v>164</v>
      </c>
      <c r="N4" s="51" t="s">
        <v>165</v>
      </c>
    </row>
    <row r="5" spans="1:14" x14ac:dyDescent="0.25">
      <c r="A5" s="168" t="s">
        <v>820</v>
      </c>
      <c r="B5" s="168"/>
      <c r="C5" s="168"/>
      <c r="D5" s="168"/>
      <c r="F5" s="169" t="s">
        <v>79</v>
      </c>
      <c r="G5" s="170"/>
      <c r="H5" s="170"/>
      <c r="I5" s="171"/>
      <c r="K5" s="19" t="s">
        <v>264</v>
      </c>
      <c r="L5" s="20">
        <v>3</v>
      </c>
      <c r="M5" s="20">
        <v>4</v>
      </c>
      <c r="N5" s="20">
        <v>5</v>
      </c>
    </row>
    <row r="6" spans="1:14" x14ac:dyDescent="0.25">
      <c r="A6" s="52" t="s">
        <v>57</v>
      </c>
      <c r="B6" s="53">
        <v>1</v>
      </c>
      <c r="C6" s="53">
        <v>3</v>
      </c>
      <c r="D6" s="53">
        <v>4</v>
      </c>
      <c r="F6" s="52" t="s">
        <v>15</v>
      </c>
      <c r="G6" s="53" t="s">
        <v>63</v>
      </c>
      <c r="H6" s="53" t="s">
        <v>276</v>
      </c>
      <c r="I6" s="53" t="s">
        <v>63</v>
      </c>
      <c r="K6" s="52" t="s">
        <v>115</v>
      </c>
      <c r="L6" s="53">
        <v>1</v>
      </c>
      <c r="M6" s="53">
        <v>2</v>
      </c>
      <c r="N6" s="53">
        <v>3</v>
      </c>
    </row>
    <row r="7" spans="1:14" x14ac:dyDescent="0.25">
      <c r="A7" s="19" t="s">
        <v>816</v>
      </c>
      <c r="B7" s="20" t="s">
        <v>63</v>
      </c>
      <c r="C7" s="72" t="s">
        <v>276</v>
      </c>
      <c r="D7" s="20" t="s">
        <v>63</v>
      </c>
      <c r="F7" s="19" t="s">
        <v>148</v>
      </c>
      <c r="G7" s="20">
        <v>1</v>
      </c>
      <c r="H7" s="20">
        <v>2</v>
      </c>
      <c r="I7" s="20">
        <v>3</v>
      </c>
      <c r="K7" s="19" t="s">
        <v>145</v>
      </c>
      <c r="L7" s="20">
        <v>1</v>
      </c>
      <c r="M7" s="20">
        <v>3</v>
      </c>
      <c r="N7" s="20">
        <v>4</v>
      </c>
    </row>
    <row r="8" spans="1:14" x14ac:dyDescent="0.25">
      <c r="A8" s="52" t="s">
        <v>33</v>
      </c>
      <c r="B8" s="53">
        <v>1</v>
      </c>
      <c r="C8" s="53">
        <v>3</v>
      </c>
      <c r="D8" s="53">
        <v>4</v>
      </c>
      <c r="F8" s="52" t="s">
        <v>182</v>
      </c>
      <c r="G8" s="53">
        <v>1</v>
      </c>
      <c r="H8" s="53">
        <v>2</v>
      </c>
      <c r="I8" s="53">
        <v>3</v>
      </c>
      <c r="K8" s="52" t="s">
        <v>191</v>
      </c>
      <c r="L8" s="53" t="s">
        <v>63</v>
      </c>
      <c r="M8" s="53" t="s">
        <v>276</v>
      </c>
      <c r="N8" s="53" t="s">
        <v>63</v>
      </c>
    </row>
    <row r="9" spans="1:14" x14ac:dyDescent="0.25">
      <c r="A9" s="19" t="s">
        <v>819</v>
      </c>
      <c r="B9" s="20">
        <v>1</v>
      </c>
      <c r="C9" s="20">
        <v>3</v>
      </c>
      <c r="D9" s="20">
        <v>4</v>
      </c>
      <c r="F9" s="19" t="s">
        <v>149</v>
      </c>
      <c r="G9" s="20">
        <v>1</v>
      </c>
      <c r="H9" s="20">
        <v>2</v>
      </c>
      <c r="I9" s="20">
        <v>3</v>
      </c>
      <c r="K9" s="19" t="s">
        <v>146</v>
      </c>
      <c r="L9" s="20">
        <v>3</v>
      </c>
      <c r="M9" s="20">
        <v>4</v>
      </c>
      <c r="N9" s="20">
        <v>5</v>
      </c>
    </row>
    <row r="10" spans="1:14" x14ac:dyDescent="0.25">
      <c r="A10" s="52" t="s">
        <v>186</v>
      </c>
      <c r="B10" s="53">
        <v>3</v>
      </c>
      <c r="C10" s="53">
        <v>3</v>
      </c>
      <c r="D10" s="53">
        <v>4</v>
      </c>
      <c r="F10" s="52" t="s">
        <v>150</v>
      </c>
      <c r="G10" s="53">
        <v>1</v>
      </c>
      <c r="H10" s="53">
        <v>2</v>
      </c>
      <c r="I10" s="53">
        <v>3</v>
      </c>
      <c r="K10" s="52" t="s">
        <v>37</v>
      </c>
      <c r="L10" s="53">
        <v>1</v>
      </c>
      <c r="M10" s="53">
        <v>3</v>
      </c>
      <c r="N10" s="53">
        <v>4</v>
      </c>
    </row>
    <row r="11" spans="1:14" x14ac:dyDescent="0.25">
      <c r="A11" s="19" t="s">
        <v>60</v>
      </c>
      <c r="B11" s="20">
        <v>1</v>
      </c>
      <c r="C11" s="20">
        <v>3</v>
      </c>
      <c r="D11" s="20">
        <v>4</v>
      </c>
      <c r="F11" s="19" t="s">
        <v>20</v>
      </c>
      <c r="G11" s="20">
        <v>1</v>
      </c>
      <c r="H11" s="20">
        <v>3</v>
      </c>
      <c r="I11" s="20">
        <v>4</v>
      </c>
      <c r="K11" s="19" t="s">
        <v>23</v>
      </c>
      <c r="L11" s="20">
        <v>1</v>
      </c>
      <c r="M11" s="20">
        <v>3</v>
      </c>
      <c r="N11" s="20">
        <v>4</v>
      </c>
    </row>
    <row r="12" spans="1:14" x14ac:dyDescent="0.25">
      <c r="A12" s="52" t="s">
        <v>81</v>
      </c>
      <c r="B12" s="53">
        <v>3</v>
      </c>
      <c r="C12" s="53">
        <v>3</v>
      </c>
      <c r="D12" s="53">
        <v>4</v>
      </c>
      <c r="F12" s="52" t="s">
        <v>32</v>
      </c>
      <c r="G12" s="53">
        <v>4</v>
      </c>
      <c r="H12" s="53">
        <v>4</v>
      </c>
      <c r="I12" s="53">
        <v>5</v>
      </c>
      <c r="K12" s="52" t="s">
        <v>147</v>
      </c>
      <c r="L12" s="53">
        <v>1</v>
      </c>
      <c r="M12" s="53">
        <v>4</v>
      </c>
      <c r="N12" s="53">
        <v>5</v>
      </c>
    </row>
    <row r="13" spans="1:14" x14ac:dyDescent="0.25">
      <c r="A13" s="19" t="s">
        <v>218</v>
      </c>
      <c r="B13" s="20">
        <v>1</v>
      </c>
      <c r="C13" s="20">
        <v>3</v>
      </c>
      <c r="D13" s="20">
        <v>4</v>
      </c>
      <c r="F13" s="168" t="s">
        <v>102</v>
      </c>
      <c r="G13" s="168"/>
      <c r="H13" s="168"/>
      <c r="I13" s="168"/>
      <c r="K13" s="19" t="s">
        <v>173</v>
      </c>
      <c r="L13" s="20">
        <v>4</v>
      </c>
      <c r="M13" s="20">
        <v>4</v>
      </c>
      <c r="N13" s="20">
        <v>5</v>
      </c>
    </row>
    <row r="14" spans="1:14" x14ac:dyDescent="0.25">
      <c r="A14" s="52" t="s">
        <v>34</v>
      </c>
      <c r="B14" s="53">
        <v>1</v>
      </c>
      <c r="C14" s="53">
        <v>3</v>
      </c>
      <c r="D14" s="53">
        <v>4</v>
      </c>
      <c r="F14" s="52" t="s">
        <v>52</v>
      </c>
      <c r="G14" s="53">
        <v>3</v>
      </c>
      <c r="H14" s="53">
        <v>4</v>
      </c>
      <c r="I14" s="53">
        <v>5</v>
      </c>
      <c r="K14" s="168" t="s">
        <v>94</v>
      </c>
      <c r="L14" s="168"/>
      <c r="M14" s="168"/>
      <c r="N14" s="168"/>
    </row>
    <row r="15" spans="1:14" x14ac:dyDescent="0.25">
      <c r="A15" s="19" t="s">
        <v>219</v>
      </c>
      <c r="B15" s="20">
        <v>1</v>
      </c>
      <c r="C15" s="20">
        <v>3</v>
      </c>
      <c r="D15" s="20">
        <v>4</v>
      </c>
      <c r="F15" s="19" t="s">
        <v>61</v>
      </c>
      <c r="G15" s="20" t="s">
        <v>63</v>
      </c>
      <c r="H15" s="72" t="s">
        <v>276</v>
      </c>
      <c r="I15" s="20" t="s">
        <v>63</v>
      </c>
      <c r="K15" s="52" t="s">
        <v>110</v>
      </c>
      <c r="L15" s="53">
        <v>4</v>
      </c>
      <c r="M15" s="53">
        <v>5</v>
      </c>
      <c r="N15" s="53">
        <v>5</v>
      </c>
    </row>
    <row r="16" spans="1:14" x14ac:dyDescent="0.25">
      <c r="A16" s="168" t="s">
        <v>104</v>
      </c>
      <c r="B16" s="168"/>
      <c r="C16" s="168"/>
      <c r="D16" s="168"/>
      <c r="F16" s="168" t="s">
        <v>205</v>
      </c>
      <c r="G16" s="168"/>
      <c r="H16" s="168"/>
      <c r="I16" s="168"/>
      <c r="K16" s="19" t="s">
        <v>51</v>
      </c>
      <c r="L16" s="20">
        <v>4</v>
      </c>
      <c r="M16" s="20">
        <v>4</v>
      </c>
      <c r="N16" s="20">
        <v>5</v>
      </c>
    </row>
    <row r="17" spans="1:14" x14ac:dyDescent="0.25">
      <c r="A17" s="52" t="s">
        <v>42</v>
      </c>
      <c r="B17" s="53">
        <v>3</v>
      </c>
      <c r="C17" s="53">
        <v>4</v>
      </c>
      <c r="D17" s="53">
        <v>5</v>
      </c>
      <c r="F17" s="52" t="s">
        <v>245</v>
      </c>
      <c r="G17" s="53">
        <v>4</v>
      </c>
      <c r="H17" s="53">
        <v>4</v>
      </c>
      <c r="I17" s="53">
        <v>5</v>
      </c>
      <c r="K17" s="52" t="s">
        <v>153</v>
      </c>
      <c r="L17" s="53">
        <v>4</v>
      </c>
      <c r="M17" s="53">
        <v>5</v>
      </c>
      <c r="N17" s="53">
        <v>5</v>
      </c>
    </row>
    <row r="18" spans="1:14" x14ac:dyDescent="0.25">
      <c r="A18" s="19" t="s">
        <v>82</v>
      </c>
      <c r="B18" s="20">
        <v>1</v>
      </c>
      <c r="C18" s="20">
        <v>2</v>
      </c>
      <c r="D18" s="20">
        <v>3</v>
      </c>
      <c r="F18" s="19" t="s">
        <v>185</v>
      </c>
      <c r="G18" s="20">
        <v>4</v>
      </c>
      <c r="H18" s="20">
        <v>4</v>
      </c>
      <c r="I18" s="20">
        <v>5</v>
      </c>
      <c r="K18" s="19" t="s">
        <v>154</v>
      </c>
      <c r="L18" s="20">
        <v>4</v>
      </c>
      <c r="M18" s="20">
        <v>4</v>
      </c>
      <c r="N18" s="20">
        <v>5</v>
      </c>
    </row>
    <row r="19" spans="1:14" x14ac:dyDescent="0.25">
      <c r="A19" s="52" t="s">
        <v>83</v>
      </c>
      <c r="B19" s="53">
        <v>1</v>
      </c>
      <c r="C19" s="53">
        <v>3</v>
      </c>
      <c r="D19" s="53">
        <v>4</v>
      </c>
      <c r="F19" s="52" t="s">
        <v>107</v>
      </c>
      <c r="G19" s="53">
        <v>4</v>
      </c>
      <c r="H19" s="53">
        <v>4</v>
      </c>
      <c r="I19" s="53">
        <v>5</v>
      </c>
      <c r="K19" s="52" t="s">
        <v>111</v>
      </c>
      <c r="L19" s="53">
        <v>4</v>
      </c>
      <c r="M19" s="53">
        <v>5</v>
      </c>
      <c r="N19" s="53">
        <v>5</v>
      </c>
    </row>
    <row r="20" spans="1:14" x14ac:dyDescent="0.25">
      <c r="A20" s="19" t="s">
        <v>19</v>
      </c>
      <c r="B20" s="20" t="s">
        <v>63</v>
      </c>
      <c r="C20" s="72" t="s">
        <v>276</v>
      </c>
      <c r="D20" s="20" t="s">
        <v>63</v>
      </c>
      <c r="F20" s="19" t="s">
        <v>108</v>
      </c>
      <c r="G20" s="20">
        <v>4</v>
      </c>
      <c r="H20" s="20">
        <v>4</v>
      </c>
      <c r="I20" s="20">
        <v>5</v>
      </c>
      <c r="K20" s="19" t="s">
        <v>112</v>
      </c>
      <c r="L20" s="20">
        <v>1</v>
      </c>
      <c r="M20" s="20">
        <v>3</v>
      </c>
      <c r="N20" s="20">
        <v>4</v>
      </c>
    </row>
    <row r="21" spans="1:14" x14ac:dyDescent="0.25">
      <c r="A21" s="52" t="s">
        <v>172</v>
      </c>
      <c r="B21" s="53">
        <v>1</v>
      </c>
      <c r="C21" s="53">
        <v>3</v>
      </c>
      <c r="D21" s="53">
        <v>4</v>
      </c>
      <c r="F21" s="52" t="s">
        <v>206</v>
      </c>
      <c r="G21" s="53">
        <v>1</v>
      </c>
      <c r="H21" s="53">
        <v>3</v>
      </c>
      <c r="I21" s="53">
        <v>4</v>
      </c>
      <c r="K21" s="52" t="s">
        <v>155</v>
      </c>
      <c r="L21" s="53">
        <v>1</v>
      </c>
      <c r="M21" s="53">
        <v>3</v>
      </c>
      <c r="N21" s="53">
        <v>4</v>
      </c>
    </row>
    <row r="22" spans="1:14" x14ac:dyDescent="0.25">
      <c r="A22" s="19" t="s">
        <v>84</v>
      </c>
      <c r="B22" s="20">
        <v>1</v>
      </c>
      <c r="C22" s="20">
        <v>3</v>
      </c>
      <c r="D22" s="20">
        <v>4</v>
      </c>
      <c r="F22" s="19" t="s">
        <v>53</v>
      </c>
      <c r="G22" s="20">
        <v>4</v>
      </c>
      <c r="H22" s="20">
        <v>4</v>
      </c>
      <c r="I22" s="20">
        <v>5</v>
      </c>
      <c r="K22" s="19" t="s">
        <v>56</v>
      </c>
      <c r="L22" s="20" t="s">
        <v>63</v>
      </c>
      <c r="M22" s="72" t="s">
        <v>276</v>
      </c>
      <c r="N22" s="20" t="s">
        <v>63</v>
      </c>
    </row>
    <row r="23" spans="1:14" x14ac:dyDescent="0.25">
      <c r="A23" s="52" t="s">
        <v>85</v>
      </c>
      <c r="B23" s="53">
        <v>1</v>
      </c>
      <c r="C23" s="53">
        <v>3</v>
      </c>
      <c r="D23" s="53">
        <v>4</v>
      </c>
      <c r="F23" s="52" t="s">
        <v>80</v>
      </c>
      <c r="G23" s="53">
        <v>4</v>
      </c>
      <c r="H23" s="53">
        <v>4</v>
      </c>
      <c r="I23" s="53">
        <v>5</v>
      </c>
      <c r="K23" s="52" t="s">
        <v>271</v>
      </c>
      <c r="L23" s="53">
        <v>1</v>
      </c>
      <c r="M23" s="53">
        <v>3</v>
      </c>
      <c r="N23" s="53">
        <v>4</v>
      </c>
    </row>
    <row r="24" spans="1:14" x14ac:dyDescent="0.25">
      <c r="A24" s="19" t="s">
        <v>41</v>
      </c>
      <c r="B24" s="20">
        <v>3</v>
      </c>
      <c r="C24" s="20">
        <v>3</v>
      </c>
      <c r="D24" s="20">
        <v>4</v>
      </c>
      <c r="F24" s="19" t="s">
        <v>27</v>
      </c>
      <c r="G24" s="20" t="s">
        <v>63</v>
      </c>
      <c r="H24" s="72" t="s">
        <v>276</v>
      </c>
      <c r="I24" s="20" t="s">
        <v>63</v>
      </c>
      <c r="K24" s="19" t="s">
        <v>156</v>
      </c>
      <c r="L24" s="20">
        <v>4</v>
      </c>
      <c r="M24" s="20">
        <v>4</v>
      </c>
      <c r="N24" s="20">
        <v>5</v>
      </c>
    </row>
    <row r="25" spans="1:14" x14ac:dyDescent="0.25">
      <c r="A25" s="52" t="s">
        <v>178</v>
      </c>
      <c r="B25" s="53">
        <v>1</v>
      </c>
      <c r="C25" s="53">
        <v>3</v>
      </c>
      <c r="D25" s="53">
        <v>4</v>
      </c>
      <c r="F25" s="52" t="s">
        <v>64</v>
      </c>
      <c r="G25" s="53">
        <v>4</v>
      </c>
      <c r="H25" s="53">
        <v>4</v>
      </c>
      <c r="I25" s="53">
        <v>5</v>
      </c>
      <c r="K25" s="52" t="s">
        <v>113</v>
      </c>
      <c r="L25" s="53">
        <v>4</v>
      </c>
      <c r="M25" s="53">
        <v>4</v>
      </c>
      <c r="N25" s="53">
        <v>5</v>
      </c>
    </row>
    <row r="26" spans="1:14" x14ac:dyDescent="0.25">
      <c r="A26" s="168" t="s">
        <v>78</v>
      </c>
      <c r="B26" s="168"/>
      <c r="C26" s="168"/>
      <c r="D26" s="168"/>
      <c r="F26" s="168" t="s">
        <v>98</v>
      </c>
      <c r="G26" s="168"/>
      <c r="H26" s="168"/>
      <c r="I26" s="168"/>
      <c r="K26" s="19" t="s">
        <v>66</v>
      </c>
      <c r="L26" s="20">
        <v>4</v>
      </c>
      <c r="M26" s="20">
        <v>4</v>
      </c>
      <c r="N26" s="20">
        <v>5</v>
      </c>
    </row>
    <row r="27" spans="1:14" x14ac:dyDescent="0.25">
      <c r="A27" s="52" t="s">
        <v>59</v>
      </c>
      <c r="B27" s="53" t="s">
        <v>63</v>
      </c>
      <c r="C27" s="53" t="s">
        <v>276</v>
      </c>
      <c r="D27" s="53" t="s">
        <v>63</v>
      </c>
      <c r="F27" s="52" t="s">
        <v>158</v>
      </c>
      <c r="G27" s="53">
        <v>1</v>
      </c>
      <c r="H27" s="53">
        <v>3</v>
      </c>
      <c r="I27" s="53">
        <v>4</v>
      </c>
      <c r="K27" s="168" t="s">
        <v>96</v>
      </c>
      <c r="L27" s="168"/>
      <c r="M27" s="168"/>
      <c r="N27" s="168"/>
    </row>
    <row r="28" spans="1:14" x14ac:dyDescent="0.25">
      <c r="A28" s="19" t="s">
        <v>86</v>
      </c>
      <c r="B28" s="20">
        <v>1</v>
      </c>
      <c r="C28" s="20">
        <v>3</v>
      </c>
      <c r="D28" s="20">
        <v>4</v>
      </c>
      <c r="F28" s="19" t="s">
        <v>159</v>
      </c>
      <c r="G28" s="20">
        <v>1</v>
      </c>
      <c r="H28" s="20">
        <v>3</v>
      </c>
      <c r="I28" s="20">
        <v>4</v>
      </c>
      <c r="K28" s="52" t="s">
        <v>14</v>
      </c>
      <c r="L28" s="53" t="s">
        <v>63</v>
      </c>
      <c r="M28" s="53" t="s">
        <v>276</v>
      </c>
      <c r="N28" s="53" t="s">
        <v>63</v>
      </c>
    </row>
    <row r="29" spans="1:14" x14ac:dyDescent="0.25">
      <c r="A29" s="52" t="s">
        <v>142</v>
      </c>
      <c r="B29" s="53">
        <v>4</v>
      </c>
      <c r="C29" s="53">
        <v>4</v>
      </c>
      <c r="D29" s="53">
        <v>5</v>
      </c>
      <c r="F29" s="52" t="s">
        <v>177</v>
      </c>
      <c r="G29" s="53">
        <v>1</v>
      </c>
      <c r="H29" s="53">
        <v>3</v>
      </c>
      <c r="I29" s="53">
        <v>4</v>
      </c>
      <c r="K29" s="19" t="s">
        <v>179</v>
      </c>
      <c r="L29" s="20">
        <v>1</v>
      </c>
      <c r="M29" s="20">
        <v>3</v>
      </c>
      <c r="N29" s="20">
        <v>4</v>
      </c>
    </row>
    <row r="30" spans="1:14" x14ac:dyDescent="0.25">
      <c r="A30" s="19" t="s">
        <v>87</v>
      </c>
      <c r="B30" s="20">
        <v>1</v>
      </c>
      <c r="C30" s="20">
        <v>3</v>
      </c>
      <c r="D30" s="20">
        <v>4</v>
      </c>
      <c r="F30" s="19" t="s">
        <v>160</v>
      </c>
      <c r="G30" s="20">
        <v>3</v>
      </c>
      <c r="H30" s="20">
        <v>4</v>
      </c>
      <c r="I30" s="20">
        <v>5</v>
      </c>
      <c r="K30" s="52" t="s">
        <v>116</v>
      </c>
      <c r="L30" s="53">
        <v>1</v>
      </c>
      <c r="M30" s="53">
        <v>3</v>
      </c>
      <c r="N30" s="53">
        <v>4</v>
      </c>
    </row>
    <row r="31" spans="1:14" x14ac:dyDescent="0.25">
      <c r="A31" s="52" t="s">
        <v>92</v>
      </c>
      <c r="B31" s="53">
        <v>4</v>
      </c>
      <c r="C31" s="53">
        <v>4</v>
      </c>
      <c r="D31" s="53">
        <v>5</v>
      </c>
      <c r="F31" s="52" t="s">
        <v>101</v>
      </c>
      <c r="G31" s="53">
        <v>3</v>
      </c>
      <c r="H31" s="53">
        <v>3</v>
      </c>
      <c r="I31" s="53">
        <v>4</v>
      </c>
      <c r="K31" s="19" t="s">
        <v>117</v>
      </c>
      <c r="L31" s="20">
        <v>3</v>
      </c>
      <c r="M31" s="20">
        <v>4</v>
      </c>
      <c r="N31" s="20">
        <v>5</v>
      </c>
    </row>
    <row r="32" spans="1:14" x14ac:dyDescent="0.25">
      <c r="A32" s="19" t="s">
        <v>139</v>
      </c>
      <c r="B32" s="20">
        <v>3</v>
      </c>
      <c r="C32" s="20">
        <v>4</v>
      </c>
      <c r="D32" s="20">
        <v>5</v>
      </c>
      <c r="F32" s="19" t="s">
        <v>67</v>
      </c>
      <c r="G32" s="20">
        <v>3</v>
      </c>
      <c r="H32" s="20">
        <v>4</v>
      </c>
      <c r="I32" s="20">
        <v>5</v>
      </c>
      <c r="K32" s="52" t="s">
        <v>134</v>
      </c>
      <c r="L32" s="53">
        <v>4</v>
      </c>
      <c r="M32" s="53">
        <v>4</v>
      </c>
      <c r="N32" s="53">
        <v>5</v>
      </c>
    </row>
    <row r="33" spans="1:14" x14ac:dyDescent="0.25">
      <c r="A33" s="52" t="s">
        <v>88</v>
      </c>
      <c r="B33" s="53">
        <v>1</v>
      </c>
      <c r="C33" s="53">
        <v>3</v>
      </c>
      <c r="D33" s="53">
        <v>4</v>
      </c>
      <c r="F33" s="52" t="s">
        <v>121</v>
      </c>
      <c r="G33" s="53">
        <v>3</v>
      </c>
      <c r="H33" s="53">
        <v>4</v>
      </c>
      <c r="I33" s="53">
        <v>5</v>
      </c>
      <c r="K33" s="19" t="s">
        <v>62</v>
      </c>
      <c r="L33" s="20">
        <v>1</v>
      </c>
      <c r="M33" s="20">
        <v>3</v>
      </c>
      <c r="N33" s="20">
        <v>4</v>
      </c>
    </row>
    <row r="34" spans="1:14" x14ac:dyDescent="0.25">
      <c r="A34" s="19" t="s">
        <v>89</v>
      </c>
      <c r="B34" s="20">
        <v>1</v>
      </c>
      <c r="C34" s="20">
        <v>3</v>
      </c>
      <c r="D34" s="20">
        <v>4</v>
      </c>
      <c r="F34" s="19" t="s">
        <v>68</v>
      </c>
      <c r="G34" s="20">
        <v>3</v>
      </c>
      <c r="H34" s="20">
        <v>4</v>
      </c>
      <c r="I34" s="20">
        <v>5</v>
      </c>
      <c r="K34" s="52" t="s">
        <v>105</v>
      </c>
      <c r="L34" s="53">
        <v>1</v>
      </c>
      <c r="M34" s="53">
        <v>3</v>
      </c>
      <c r="N34" s="53">
        <v>4</v>
      </c>
    </row>
    <row r="35" spans="1:14" x14ac:dyDescent="0.25">
      <c r="A35" s="52" t="s">
        <v>35</v>
      </c>
      <c r="B35" s="53">
        <v>1</v>
      </c>
      <c r="C35" s="53">
        <v>3</v>
      </c>
      <c r="D35" s="53">
        <v>4</v>
      </c>
      <c r="F35" s="52" t="s">
        <v>161</v>
      </c>
      <c r="G35" s="53">
        <v>1</v>
      </c>
      <c r="H35" s="53">
        <v>3</v>
      </c>
      <c r="I35" s="53">
        <v>4</v>
      </c>
      <c r="K35" s="19" t="s">
        <v>135</v>
      </c>
      <c r="L35" s="20">
        <v>1</v>
      </c>
      <c r="M35" s="20">
        <v>3</v>
      </c>
      <c r="N35" s="20">
        <v>4</v>
      </c>
    </row>
    <row r="36" spans="1:14" x14ac:dyDescent="0.25">
      <c r="A36" s="19" t="s">
        <v>90</v>
      </c>
      <c r="B36" s="20">
        <v>4</v>
      </c>
      <c r="C36" s="20">
        <v>4</v>
      </c>
      <c r="D36" s="20">
        <v>5</v>
      </c>
      <c r="F36" s="19" t="s">
        <v>195</v>
      </c>
      <c r="G36" s="20">
        <v>1</v>
      </c>
      <c r="H36" s="20">
        <v>3</v>
      </c>
      <c r="I36" s="20">
        <v>4</v>
      </c>
      <c r="K36" s="52" t="s">
        <v>140</v>
      </c>
      <c r="L36" s="53">
        <v>3</v>
      </c>
      <c r="M36" s="53">
        <v>4</v>
      </c>
      <c r="N36" s="53">
        <v>5</v>
      </c>
    </row>
    <row r="37" spans="1:14" x14ac:dyDescent="0.25">
      <c r="A37" s="52" t="s">
        <v>91</v>
      </c>
      <c r="B37" s="53">
        <v>4</v>
      </c>
      <c r="C37" s="53">
        <v>4</v>
      </c>
      <c r="D37" s="53">
        <v>5</v>
      </c>
      <c r="F37" s="52" t="s">
        <v>196</v>
      </c>
      <c r="G37" s="53">
        <v>3</v>
      </c>
      <c r="H37" s="53">
        <v>4</v>
      </c>
      <c r="I37" s="53">
        <v>5</v>
      </c>
      <c r="K37" s="19" t="s">
        <v>118</v>
      </c>
      <c r="L37" s="20">
        <v>1</v>
      </c>
      <c r="M37" s="20">
        <v>3</v>
      </c>
      <c r="N37" s="20">
        <v>4</v>
      </c>
    </row>
    <row r="38" spans="1:14" x14ac:dyDescent="0.25">
      <c r="A38" s="168" t="s">
        <v>273</v>
      </c>
      <c r="B38" s="168"/>
      <c r="C38" s="168"/>
      <c r="D38" s="168"/>
      <c r="F38" s="19" t="s">
        <v>24</v>
      </c>
      <c r="G38" s="20" t="s">
        <v>63</v>
      </c>
      <c r="H38" s="72" t="s">
        <v>276</v>
      </c>
      <c r="I38" s="20" t="s">
        <v>63</v>
      </c>
      <c r="K38" s="52" t="s">
        <v>106</v>
      </c>
      <c r="L38" s="53">
        <v>1</v>
      </c>
      <c r="M38" s="53">
        <v>3</v>
      </c>
      <c r="N38" s="53">
        <v>4</v>
      </c>
    </row>
    <row r="39" spans="1:14" x14ac:dyDescent="0.25">
      <c r="A39" s="52" t="s">
        <v>187</v>
      </c>
      <c r="B39" s="53">
        <v>1</v>
      </c>
      <c r="C39" s="53">
        <v>3</v>
      </c>
      <c r="D39" s="53">
        <v>4</v>
      </c>
      <c r="F39" s="52" t="s">
        <v>122</v>
      </c>
      <c r="G39" s="53">
        <v>4</v>
      </c>
      <c r="H39" s="53">
        <v>4</v>
      </c>
      <c r="I39" s="53">
        <v>5</v>
      </c>
      <c r="K39" s="19" t="s">
        <v>141</v>
      </c>
      <c r="L39" s="20">
        <v>1</v>
      </c>
      <c r="M39" s="20">
        <v>3</v>
      </c>
      <c r="N39" s="20">
        <v>4</v>
      </c>
    </row>
    <row r="40" spans="1:14" x14ac:dyDescent="0.25">
      <c r="A40" s="19" t="s">
        <v>214</v>
      </c>
      <c r="B40" s="20">
        <v>1</v>
      </c>
      <c r="C40" s="20">
        <v>3</v>
      </c>
      <c r="D40" s="20">
        <v>4</v>
      </c>
      <c r="F40" s="168" t="s">
        <v>162</v>
      </c>
      <c r="G40" s="168"/>
      <c r="H40" s="168"/>
      <c r="I40" s="168"/>
      <c r="K40" s="168" t="s">
        <v>100</v>
      </c>
      <c r="L40" s="168"/>
      <c r="M40" s="168"/>
      <c r="N40" s="168"/>
    </row>
    <row r="41" spans="1:14" x14ac:dyDescent="0.25">
      <c r="A41" s="52" t="s">
        <v>58</v>
      </c>
      <c r="B41" s="53" t="s">
        <v>63</v>
      </c>
      <c r="C41" s="53" t="s">
        <v>276</v>
      </c>
      <c r="D41" s="53" t="s">
        <v>63</v>
      </c>
      <c r="F41" s="52" t="s">
        <v>13</v>
      </c>
      <c r="G41" s="53">
        <v>1</v>
      </c>
      <c r="H41" s="53">
        <v>3</v>
      </c>
      <c r="I41" s="53">
        <v>4</v>
      </c>
      <c r="K41" s="52" t="s">
        <v>43</v>
      </c>
      <c r="L41" s="53">
        <v>1</v>
      </c>
      <c r="M41" s="53">
        <v>3</v>
      </c>
      <c r="N41" s="53">
        <v>4</v>
      </c>
    </row>
    <row r="42" spans="1:14" x14ac:dyDescent="0.25">
      <c r="A42" s="19" t="s">
        <v>211</v>
      </c>
      <c r="B42" s="20">
        <v>1</v>
      </c>
      <c r="C42" s="20">
        <v>3</v>
      </c>
      <c r="D42" s="20">
        <v>4</v>
      </c>
      <c r="F42" s="19" t="s">
        <v>180</v>
      </c>
      <c r="G42" s="20">
        <v>1</v>
      </c>
      <c r="H42" s="20">
        <v>3</v>
      </c>
      <c r="I42" s="20">
        <v>4</v>
      </c>
      <c r="K42" s="19" t="s">
        <v>119</v>
      </c>
      <c r="L42" s="20">
        <v>4</v>
      </c>
      <c r="M42" s="20">
        <v>4</v>
      </c>
      <c r="N42" s="20">
        <v>5</v>
      </c>
    </row>
    <row r="43" spans="1:14" x14ac:dyDescent="0.25">
      <c r="A43" s="52" t="s">
        <v>210</v>
      </c>
      <c r="B43" s="53">
        <v>1</v>
      </c>
      <c r="C43" s="53">
        <v>2</v>
      </c>
      <c r="D43" s="53">
        <v>3</v>
      </c>
      <c r="F43" s="52" t="s">
        <v>174</v>
      </c>
      <c r="G43" s="53">
        <v>1</v>
      </c>
      <c r="H43" s="53">
        <v>2</v>
      </c>
      <c r="I43" s="53">
        <v>3</v>
      </c>
      <c r="K43" s="52" t="s">
        <v>250</v>
      </c>
      <c r="L43" s="53">
        <v>5</v>
      </c>
      <c r="M43" s="53">
        <v>5</v>
      </c>
      <c r="N43" s="53">
        <v>5</v>
      </c>
    </row>
    <row r="44" spans="1:14" x14ac:dyDescent="0.25">
      <c r="A44" s="19" t="s">
        <v>213</v>
      </c>
      <c r="B44" s="20">
        <v>1</v>
      </c>
      <c r="C44" s="20">
        <v>3</v>
      </c>
      <c r="D44" s="20">
        <v>4</v>
      </c>
      <c r="F44" s="19" t="s">
        <v>93</v>
      </c>
      <c r="G44" s="20">
        <v>2</v>
      </c>
      <c r="H44" s="20">
        <v>3</v>
      </c>
      <c r="I44" s="20">
        <v>4</v>
      </c>
      <c r="K44" s="19" t="s">
        <v>157</v>
      </c>
      <c r="L44" s="20">
        <v>4</v>
      </c>
      <c r="M44" s="20">
        <v>4</v>
      </c>
      <c r="N44" s="20">
        <v>5</v>
      </c>
    </row>
    <row r="45" spans="1:14" x14ac:dyDescent="0.25">
      <c r="A45" s="52" t="s">
        <v>44</v>
      </c>
      <c r="B45" s="53">
        <v>1</v>
      </c>
      <c r="C45" s="53">
        <v>3</v>
      </c>
      <c r="D45" s="53">
        <v>4</v>
      </c>
      <c r="F45" s="52" t="s">
        <v>176</v>
      </c>
      <c r="G45" s="53">
        <v>2</v>
      </c>
      <c r="H45" s="53">
        <v>3</v>
      </c>
      <c r="I45" s="53">
        <v>4</v>
      </c>
      <c r="K45" s="52" t="s">
        <v>203</v>
      </c>
      <c r="L45" s="53">
        <v>1</v>
      </c>
      <c r="M45" s="53">
        <v>3</v>
      </c>
      <c r="N45" s="53">
        <v>4</v>
      </c>
    </row>
    <row r="46" spans="1:14" x14ac:dyDescent="0.25">
      <c r="A46" s="19" t="s">
        <v>136</v>
      </c>
      <c r="B46" s="20">
        <v>4</v>
      </c>
      <c r="C46" s="20">
        <v>4</v>
      </c>
      <c r="D46" s="20">
        <v>5</v>
      </c>
      <c r="F46" s="19" t="s">
        <v>204</v>
      </c>
      <c r="G46" s="20">
        <v>3</v>
      </c>
      <c r="H46" s="20">
        <v>4</v>
      </c>
      <c r="I46" s="20">
        <v>5</v>
      </c>
      <c r="K46" s="19" t="s">
        <v>197</v>
      </c>
      <c r="L46" s="20">
        <v>1</v>
      </c>
      <c r="M46" s="20">
        <v>3</v>
      </c>
      <c r="N46" s="20">
        <v>4</v>
      </c>
    </row>
    <row r="47" spans="1:14" x14ac:dyDescent="0.25">
      <c r="A47" s="52" t="s">
        <v>209</v>
      </c>
      <c r="B47" s="53">
        <v>1</v>
      </c>
      <c r="C47" s="53">
        <v>3</v>
      </c>
      <c r="D47" s="53">
        <v>4</v>
      </c>
      <c r="F47" s="52" t="s">
        <v>189</v>
      </c>
      <c r="G47" s="53">
        <v>2</v>
      </c>
      <c r="H47" s="53">
        <v>3</v>
      </c>
      <c r="I47" s="53">
        <v>4</v>
      </c>
      <c r="K47" s="52" t="s">
        <v>138</v>
      </c>
      <c r="L47" s="53">
        <v>4</v>
      </c>
      <c r="M47" s="53">
        <v>4</v>
      </c>
      <c r="N47" s="53">
        <v>5</v>
      </c>
    </row>
    <row r="48" spans="1:14" x14ac:dyDescent="0.25">
      <c r="A48" s="19" t="s">
        <v>137</v>
      </c>
      <c r="B48" s="20">
        <v>1</v>
      </c>
      <c r="C48" s="20">
        <v>3</v>
      </c>
      <c r="D48" s="20">
        <v>4</v>
      </c>
      <c r="F48" s="19" t="s">
        <v>175</v>
      </c>
      <c r="G48" s="20">
        <v>2</v>
      </c>
      <c r="H48" s="20">
        <v>3</v>
      </c>
      <c r="I48" s="20">
        <v>4</v>
      </c>
      <c r="K48" s="19" t="s">
        <v>21</v>
      </c>
      <c r="L48" s="20" t="s">
        <v>63</v>
      </c>
      <c r="M48" s="72" t="s">
        <v>276</v>
      </c>
      <c r="N48" s="20" t="s">
        <v>63</v>
      </c>
    </row>
    <row r="49" spans="1:14" x14ac:dyDescent="0.25">
      <c r="A49" s="52" t="s">
        <v>208</v>
      </c>
      <c r="B49" s="53">
        <v>1</v>
      </c>
      <c r="C49" s="53">
        <v>3</v>
      </c>
      <c r="D49" s="53">
        <v>4</v>
      </c>
      <c r="F49" s="52" t="s">
        <v>26</v>
      </c>
      <c r="G49" s="53" t="s">
        <v>63</v>
      </c>
      <c r="H49" s="53" t="s">
        <v>276</v>
      </c>
      <c r="I49" s="53" t="s">
        <v>63</v>
      </c>
      <c r="K49" s="52" t="s">
        <v>28</v>
      </c>
      <c r="L49" s="53">
        <v>1</v>
      </c>
      <c r="M49" s="53">
        <v>3</v>
      </c>
      <c r="N49" s="53">
        <v>4</v>
      </c>
    </row>
    <row r="50" spans="1:14" x14ac:dyDescent="0.25">
      <c r="A50" s="19" t="s">
        <v>215</v>
      </c>
      <c r="B50" s="20">
        <v>1</v>
      </c>
      <c r="C50" s="20">
        <v>2</v>
      </c>
      <c r="D50" s="20">
        <v>3</v>
      </c>
      <c r="F50" s="168" t="s">
        <v>103</v>
      </c>
      <c r="G50" s="168"/>
      <c r="H50" s="168"/>
      <c r="I50" s="168"/>
      <c r="K50" s="168" t="s">
        <v>97</v>
      </c>
      <c r="L50" s="168"/>
      <c r="M50" s="168"/>
      <c r="N50" s="168"/>
    </row>
    <row r="51" spans="1:14" x14ac:dyDescent="0.25">
      <c r="A51" s="52" t="s">
        <v>46</v>
      </c>
      <c r="B51" s="53">
        <v>3</v>
      </c>
      <c r="C51" s="53">
        <v>4</v>
      </c>
      <c r="D51" s="53">
        <v>5</v>
      </c>
      <c r="F51" s="52" t="s">
        <v>109</v>
      </c>
      <c r="G51" s="53">
        <v>1</v>
      </c>
      <c r="H51" s="53">
        <v>3</v>
      </c>
      <c r="I51" s="53">
        <v>4</v>
      </c>
      <c r="K51" s="52" t="s">
        <v>201</v>
      </c>
      <c r="L51" s="53">
        <v>1</v>
      </c>
      <c r="M51" s="53">
        <v>3</v>
      </c>
      <c r="N51" s="53">
        <v>4</v>
      </c>
    </row>
    <row r="52" spans="1:14" x14ac:dyDescent="0.25">
      <c r="A52" s="19" t="s">
        <v>198</v>
      </c>
      <c r="B52" s="20">
        <v>3</v>
      </c>
      <c r="C52" s="20">
        <v>4</v>
      </c>
      <c r="D52" s="20">
        <v>5</v>
      </c>
      <c r="F52" s="19" t="s">
        <v>251</v>
      </c>
      <c r="G52" s="20">
        <v>1</v>
      </c>
      <c r="H52" s="20">
        <v>3</v>
      </c>
      <c r="I52" s="20">
        <v>4</v>
      </c>
      <c r="K52" s="19" t="s">
        <v>120</v>
      </c>
      <c r="L52" s="20">
        <v>3</v>
      </c>
      <c r="M52" s="20">
        <v>4</v>
      </c>
      <c r="N52" s="20">
        <v>5</v>
      </c>
    </row>
    <row r="53" spans="1:14" x14ac:dyDescent="0.25">
      <c r="A53" s="52" t="s">
        <v>45</v>
      </c>
      <c r="B53" s="53">
        <v>4</v>
      </c>
      <c r="C53" s="53">
        <v>4</v>
      </c>
      <c r="D53" s="53">
        <v>5</v>
      </c>
      <c r="F53" s="52" t="s">
        <v>16</v>
      </c>
      <c r="G53" s="53">
        <v>1</v>
      </c>
      <c r="H53" s="53">
        <v>3</v>
      </c>
      <c r="I53" s="53">
        <v>4</v>
      </c>
      <c r="K53" s="52" t="s">
        <v>22</v>
      </c>
      <c r="L53" s="53" t="s">
        <v>63</v>
      </c>
      <c r="M53" s="53" t="s">
        <v>276</v>
      </c>
      <c r="N53" s="53" t="s">
        <v>63</v>
      </c>
    </row>
    <row r="54" spans="1:14" x14ac:dyDescent="0.25">
      <c r="A54" s="19" t="s">
        <v>75</v>
      </c>
      <c r="B54" s="20">
        <v>1</v>
      </c>
      <c r="C54" s="20">
        <v>3</v>
      </c>
      <c r="D54" s="20">
        <v>4</v>
      </c>
      <c r="F54" s="19" t="s">
        <v>143</v>
      </c>
      <c r="G54" s="20">
        <v>3</v>
      </c>
      <c r="H54" s="20">
        <v>4</v>
      </c>
      <c r="I54" s="20">
        <v>5</v>
      </c>
      <c r="K54" s="19" t="s">
        <v>151</v>
      </c>
      <c r="L54" s="20">
        <v>3</v>
      </c>
      <c r="M54" s="20">
        <v>4</v>
      </c>
      <c r="N54" s="20">
        <v>5</v>
      </c>
    </row>
    <row r="55" spans="1:14" x14ac:dyDescent="0.25">
      <c r="A55" s="52" t="s">
        <v>47</v>
      </c>
      <c r="B55" s="53">
        <v>3</v>
      </c>
      <c r="C55" s="53">
        <v>4</v>
      </c>
      <c r="D55" s="53">
        <v>5</v>
      </c>
      <c r="F55" s="52" t="s">
        <v>193</v>
      </c>
      <c r="G55" s="53">
        <v>1</v>
      </c>
      <c r="H55" s="53">
        <v>2</v>
      </c>
      <c r="I55" s="53">
        <v>3</v>
      </c>
      <c r="K55" s="52" t="s">
        <v>152</v>
      </c>
      <c r="L55" s="53">
        <v>3</v>
      </c>
      <c r="M55" s="53">
        <v>4</v>
      </c>
      <c r="N55" s="53">
        <v>5</v>
      </c>
    </row>
    <row r="56" spans="1:14" x14ac:dyDescent="0.25">
      <c r="A56" s="19" t="s">
        <v>166</v>
      </c>
      <c r="B56" s="20">
        <v>3</v>
      </c>
      <c r="C56" s="20">
        <v>4</v>
      </c>
      <c r="D56" s="20">
        <v>5</v>
      </c>
      <c r="F56" s="19" t="s">
        <v>50</v>
      </c>
      <c r="G56" s="20">
        <v>3</v>
      </c>
      <c r="H56" s="20">
        <v>4</v>
      </c>
      <c r="I56" s="20">
        <v>5</v>
      </c>
      <c r="K56" s="168" t="s">
        <v>200</v>
      </c>
      <c r="L56" s="168"/>
      <c r="M56" s="168"/>
      <c r="N56" s="168"/>
    </row>
    <row r="57" spans="1:14" x14ac:dyDescent="0.25">
      <c r="A57" s="52" t="s">
        <v>299</v>
      </c>
      <c r="B57" s="53">
        <v>1</v>
      </c>
      <c r="C57" s="53">
        <v>3</v>
      </c>
      <c r="D57" s="53">
        <v>4</v>
      </c>
      <c r="F57" s="52" t="s">
        <v>17</v>
      </c>
      <c r="G57" s="53">
        <v>1</v>
      </c>
      <c r="H57" s="53">
        <v>3</v>
      </c>
      <c r="I57" s="53">
        <v>4</v>
      </c>
      <c r="K57" s="52" t="s">
        <v>36</v>
      </c>
      <c r="L57" s="53">
        <v>3</v>
      </c>
      <c r="M57" s="53">
        <v>4</v>
      </c>
      <c r="N57" s="53">
        <v>5</v>
      </c>
    </row>
    <row r="58" spans="1:14" x14ac:dyDescent="0.25">
      <c r="A58" s="19" t="s">
        <v>48</v>
      </c>
      <c r="B58" s="20">
        <v>1</v>
      </c>
      <c r="C58" s="20">
        <v>3</v>
      </c>
      <c r="D58" s="20">
        <v>4</v>
      </c>
      <c r="F58" s="19" t="s">
        <v>18</v>
      </c>
      <c r="G58" s="20" t="s">
        <v>63</v>
      </c>
      <c r="H58" s="72" t="s">
        <v>276</v>
      </c>
      <c r="I58" s="20" t="s">
        <v>63</v>
      </c>
      <c r="K58" s="19" t="s">
        <v>55</v>
      </c>
      <c r="L58" s="20" t="s">
        <v>63</v>
      </c>
      <c r="M58" s="72" t="s">
        <v>276</v>
      </c>
      <c r="N58" s="20" t="s">
        <v>63</v>
      </c>
    </row>
    <row r="59" spans="1:14" x14ac:dyDescent="0.25">
      <c r="A59" s="52" t="s">
        <v>217</v>
      </c>
      <c r="B59" s="53">
        <v>1</v>
      </c>
      <c r="C59" s="53">
        <v>3</v>
      </c>
      <c r="D59" s="53">
        <v>4</v>
      </c>
      <c r="F59" s="52" t="s">
        <v>38</v>
      </c>
      <c r="G59" s="53">
        <v>1</v>
      </c>
      <c r="H59" s="53">
        <v>3</v>
      </c>
      <c r="I59" s="53">
        <v>4</v>
      </c>
      <c r="K59" s="168" t="s">
        <v>99</v>
      </c>
      <c r="L59" s="168"/>
      <c r="M59" s="168"/>
      <c r="N59" s="168"/>
    </row>
    <row r="60" spans="1:14" x14ac:dyDescent="0.25">
      <c r="A60" s="19" t="s">
        <v>216</v>
      </c>
      <c r="B60" s="20">
        <v>1</v>
      </c>
      <c r="C60" s="20">
        <v>3</v>
      </c>
      <c r="D60" s="20">
        <v>4</v>
      </c>
      <c r="F60" s="19" t="s">
        <v>40</v>
      </c>
      <c r="G60" s="20">
        <v>1</v>
      </c>
      <c r="H60" s="20">
        <v>3</v>
      </c>
      <c r="I60" s="20">
        <v>4</v>
      </c>
      <c r="K60" s="52" t="s">
        <v>54</v>
      </c>
      <c r="L60" s="53">
        <v>4</v>
      </c>
      <c r="M60" s="53">
        <v>4</v>
      </c>
      <c r="N60" s="53">
        <v>5</v>
      </c>
    </row>
    <row r="61" spans="1:14" x14ac:dyDescent="0.25">
      <c r="A61" s="52" t="s">
        <v>181</v>
      </c>
      <c r="B61" s="53">
        <v>1</v>
      </c>
      <c r="C61" s="53">
        <v>3</v>
      </c>
      <c r="D61" s="53">
        <v>4</v>
      </c>
      <c r="F61" s="52" t="s">
        <v>163</v>
      </c>
      <c r="G61" s="53">
        <v>1</v>
      </c>
      <c r="H61" s="53">
        <v>2</v>
      </c>
      <c r="I61" s="53">
        <v>3</v>
      </c>
      <c r="K61" s="19" t="s">
        <v>123</v>
      </c>
      <c r="L61" s="20">
        <v>3</v>
      </c>
      <c r="M61" s="20">
        <v>4</v>
      </c>
      <c r="N61" s="20">
        <v>5</v>
      </c>
    </row>
    <row r="62" spans="1:14" x14ac:dyDescent="0.25">
      <c r="A62" s="19" t="s">
        <v>212</v>
      </c>
      <c r="B62" s="20">
        <v>1</v>
      </c>
      <c r="C62" s="20">
        <v>3</v>
      </c>
      <c r="D62" s="20">
        <v>4</v>
      </c>
      <c r="F62" s="19" t="s">
        <v>25</v>
      </c>
      <c r="G62" s="20">
        <v>1</v>
      </c>
      <c r="H62" s="20">
        <v>3</v>
      </c>
      <c r="I62" s="20">
        <v>4</v>
      </c>
      <c r="K62" s="52" t="s">
        <v>183</v>
      </c>
      <c r="L62" s="53">
        <v>1</v>
      </c>
      <c r="M62" s="53">
        <v>3</v>
      </c>
      <c r="N62" s="53">
        <v>4</v>
      </c>
    </row>
    <row r="63" spans="1:14" x14ac:dyDescent="0.25">
      <c r="A63" s="52" t="s">
        <v>76</v>
      </c>
      <c r="B63" s="53">
        <v>1</v>
      </c>
      <c r="C63" s="53">
        <v>3</v>
      </c>
      <c r="D63" s="53">
        <v>4</v>
      </c>
      <c r="F63" s="52" t="s">
        <v>39</v>
      </c>
      <c r="G63" s="53">
        <v>1</v>
      </c>
      <c r="H63" s="53">
        <v>3</v>
      </c>
      <c r="I63" s="53">
        <v>4</v>
      </c>
      <c r="K63" s="19" t="s">
        <v>192</v>
      </c>
      <c r="L63" s="20">
        <v>4</v>
      </c>
      <c r="M63" s="20">
        <v>4</v>
      </c>
      <c r="N63" s="20">
        <v>5</v>
      </c>
    </row>
    <row r="64" spans="1:14" ht="12.75" customHeight="1" x14ac:dyDescent="0.25">
      <c r="A64" s="19" t="s">
        <v>49</v>
      </c>
      <c r="B64" s="20">
        <v>1</v>
      </c>
      <c r="C64" s="20">
        <v>3</v>
      </c>
      <c r="D64" s="20">
        <v>4</v>
      </c>
      <c r="F64" s="168" t="s">
        <v>95</v>
      </c>
      <c r="G64" s="168"/>
      <c r="H64" s="168"/>
      <c r="I64" s="168"/>
      <c r="K64" s="52" t="s">
        <v>202</v>
      </c>
      <c r="L64" s="53">
        <v>4</v>
      </c>
      <c r="M64" s="53">
        <v>4</v>
      </c>
      <c r="N64" s="53">
        <v>5</v>
      </c>
    </row>
    <row r="65" spans="1:14" ht="12.75" customHeight="1" x14ac:dyDescent="0.25">
      <c r="A65" s="52" t="s">
        <v>167</v>
      </c>
      <c r="B65" s="53" t="s">
        <v>63</v>
      </c>
      <c r="C65" s="79" t="s">
        <v>276</v>
      </c>
      <c r="D65" s="53" t="s">
        <v>63</v>
      </c>
      <c r="F65" s="52" t="s">
        <v>262</v>
      </c>
      <c r="G65" s="53">
        <v>1</v>
      </c>
      <c r="H65" s="53">
        <v>3</v>
      </c>
      <c r="I65" s="53">
        <v>4</v>
      </c>
      <c r="K65" s="19" t="s">
        <v>124</v>
      </c>
      <c r="L65" s="20">
        <v>4</v>
      </c>
      <c r="M65" s="20">
        <v>4</v>
      </c>
      <c r="N65" s="20">
        <v>5</v>
      </c>
    </row>
    <row r="66" spans="1:14" ht="12.75" customHeight="1" x14ac:dyDescent="0.25">
      <c r="A66" s="19" t="s">
        <v>190</v>
      </c>
      <c r="B66" s="20">
        <v>1</v>
      </c>
      <c r="C66" s="20">
        <v>3</v>
      </c>
      <c r="D66" s="20">
        <v>4</v>
      </c>
      <c r="F66" s="19" t="s">
        <v>65</v>
      </c>
      <c r="G66" s="20">
        <v>1</v>
      </c>
      <c r="H66" s="20">
        <v>3</v>
      </c>
      <c r="I66" s="20">
        <v>4</v>
      </c>
      <c r="K66" s="52" t="s">
        <v>69</v>
      </c>
      <c r="L66" s="53">
        <v>4</v>
      </c>
      <c r="M66" s="53">
        <v>4</v>
      </c>
      <c r="N66" s="53">
        <v>5</v>
      </c>
    </row>
    <row r="67" spans="1:14" ht="12.75" customHeight="1" x14ac:dyDescent="0.3">
      <c r="A67" s="52" t="s">
        <v>207</v>
      </c>
      <c r="B67" s="53">
        <v>4</v>
      </c>
      <c r="C67" s="53">
        <v>4</v>
      </c>
      <c r="D67" s="53">
        <v>5</v>
      </c>
      <c r="E67" s="7"/>
      <c r="F67" s="52" t="s">
        <v>114</v>
      </c>
      <c r="G67" s="53">
        <v>4</v>
      </c>
      <c r="H67" s="53">
        <v>4</v>
      </c>
      <c r="I67" s="53">
        <v>5</v>
      </c>
      <c r="J67" s="7"/>
      <c r="K67" s="19" t="s">
        <v>184</v>
      </c>
      <c r="L67" s="20">
        <v>4</v>
      </c>
      <c r="M67" s="20">
        <v>4</v>
      </c>
      <c r="N67" s="20">
        <v>5</v>
      </c>
    </row>
    <row r="68" spans="1:14" ht="12.75" customHeight="1" x14ac:dyDescent="0.25">
      <c r="A68" s="19" t="s">
        <v>297</v>
      </c>
      <c r="B68" s="20">
        <v>1</v>
      </c>
      <c r="C68" s="20">
        <v>3</v>
      </c>
      <c r="D68" s="20">
        <v>4</v>
      </c>
      <c r="E68" s="8"/>
      <c r="F68" s="19" t="s">
        <v>144</v>
      </c>
      <c r="G68" s="20">
        <v>4</v>
      </c>
      <c r="H68" s="20">
        <v>4</v>
      </c>
      <c r="I68" s="20">
        <v>5</v>
      </c>
      <c r="J68" s="8"/>
      <c r="K68" s="52" t="s">
        <v>125</v>
      </c>
      <c r="L68" s="53">
        <v>4</v>
      </c>
      <c r="M68" s="53">
        <v>4</v>
      </c>
      <c r="N68" s="53">
        <v>5</v>
      </c>
    </row>
    <row r="69" spans="1:14" ht="12.75" customHeight="1" x14ac:dyDescent="0.25">
      <c r="A69" s="52" t="s">
        <v>77</v>
      </c>
      <c r="B69" s="53">
        <v>4</v>
      </c>
      <c r="C69" s="53">
        <v>4</v>
      </c>
      <c r="D69" s="53">
        <v>5</v>
      </c>
      <c r="F69" s="52" t="s">
        <v>263</v>
      </c>
      <c r="G69" s="53">
        <v>1</v>
      </c>
      <c r="H69" s="53">
        <v>3</v>
      </c>
      <c r="I69" s="53">
        <v>4</v>
      </c>
      <c r="K69" s="19" t="s">
        <v>30</v>
      </c>
      <c r="L69" s="20" t="s">
        <v>63</v>
      </c>
      <c r="M69" s="72" t="s">
        <v>276</v>
      </c>
      <c r="N69" s="20" t="s">
        <v>63</v>
      </c>
    </row>
    <row r="70" spans="1:14" ht="12.75" customHeight="1" x14ac:dyDescent="0.3">
      <c r="B70" s="16"/>
      <c r="C70" s="16"/>
      <c r="D70" s="16"/>
      <c r="F70" s="8"/>
      <c r="G70" s="8"/>
      <c r="H70" s="8"/>
      <c r="I70" s="8"/>
      <c r="K70" s="16"/>
      <c r="L70" s="16"/>
      <c r="M70" s="16"/>
      <c r="N70" s="16"/>
    </row>
    <row r="71" spans="1:14" ht="15" customHeight="1" x14ac:dyDescent="0.3">
      <c r="A71" s="172" t="s">
        <v>256</v>
      </c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</row>
    <row r="72" spans="1:14" ht="15" customHeight="1" x14ac:dyDescent="0.3">
      <c r="A72" s="154" t="s">
        <v>277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</row>
    <row r="73" spans="1:14" ht="30" customHeight="1" x14ac:dyDescent="0.25">
      <c r="A73" s="155" t="s">
        <v>272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</row>
    <row r="74" spans="1:14" ht="15.6" x14ac:dyDescent="0.25">
      <c r="B74" s="1"/>
      <c r="C74" s="1"/>
      <c r="D74" s="1"/>
      <c r="F74" s="8"/>
      <c r="G74" s="8"/>
      <c r="H74" s="8"/>
      <c r="I74" s="8"/>
      <c r="K74" s="8"/>
      <c r="L74" s="8"/>
      <c r="M74" s="8"/>
      <c r="N74" s="8"/>
    </row>
    <row r="75" spans="1:14" ht="15.6" x14ac:dyDescent="0.3">
      <c r="B75" s="1"/>
      <c r="C75" s="1"/>
      <c r="D75" s="1"/>
      <c r="F75" s="16"/>
      <c r="G75" s="16"/>
      <c r="H75" s="16"/>
      <c r="I75" s="16"/>
      <c r="K75" s="8"/>
      <c r="L75" s="8"/>
      <c r="M75" s="8"/>
      <c r="N75" s="8"/>
    </row>
    <row r="76" spans="1:14" ht="15.6" x14ac:dyDescent="0.25">
      <c r="B76" s="1"/>
      <c r="C76" s="1"/>
      <c r="D76" s="1"/>
      <c r="F76" s="8"/>
      <c r="G76" s="8"/>
      <c r="H76" s="8"/>
      <c r="I76" s="8"/>
      <c r="K76" s="42"/>
      <c r="L76" s="42"/>
      <c r="M76" s="42"/>
      <c r="N76" s="42"/>
    </row>
    <row r="77" spans="1:14" ht="15.6" x14ac:dyDescent="0.25">
      <c r="B77" s="1"/>
      <c r="C77" s="1"/>
      <c r="D77" s="1"/>
      <c r="F77" s="8"/>
      <c r="G77" s="8"/>
      <c r="H77" s="8"/>
      <c r="I77" s="8"/>
      <c r="K77" s="8"/>
      <c r="L77" s="8"/>
      <c r="M77" s="8"/>
      <c r="N77" s="8"/>
    </row>
    <row r="78" spans="1:14" ht="15.6" x14ac:dyDescent="0.25">
      <c r="B78" s="1"/>
      <c r="C78" s="1"/>
      <c r="D78" s="1"/>
      <c r="K78" s="42"/>
      <c r="L78" s="42"/>
      <c r="M78" s="42"/>
      <c r="N78" s="42"/>
    </row>
    <row r="79" spans="1:14" ht="15.6" x14ac:dyDescent="0.3">
      <c r="B79" s="1"/>
      <c r="C79" s="1"/>
      <c r="D79" s="1"/>
      <c r="F79" s="16"/>
      <c r="G79" s="16"/>
      <c r="H79" s="16"/>
      <c r="I79" s="16"/>
    </row>
    <row r="80" spans="1:14" ht="15.6" x14ac:dyDescent="0.25">
      <c r="B80" s="1"/>
      <c r="C80" s="1"/>
      <c r="D80" s="1"/>
      <c r="F80" s="8"/>
      <c r="G80" s="8"/>
      <c r="H80" s="8"/>
      <c r="I80" s="8"/>
    </row>
    <row r="81" spans="2:9" x14ac:dyDescent="0.25">
      <c r="B81" s="1"/>
      <c r="C81" s="1"/>
      <c r="D81" s="1"/>
    </row>
    <row r="82" spans="2:9" x14ac:dyDescent="0.25">
      <c r="B82" s="1"/>
      <c r="C82" s="1"/>
      <c r="D82" s="1"/>
    </row>
    <row r="83" spans="2:9" x14ac:dyDescent="0.25">
      <c r="B83" s="1"/>
      <c r="C83" s="1"/>
      <c r="D83" s="1"/>
    </row>
    <row r="84" spans="2:9" x14ac:dyDescent="0.25">
      <c r="B84" s="1"/>
      <c r="C84" s="1"/>
      <c r="D84" s="1"/>
    </row>
    <row r="85" spans="2:9" ht="15.6" x14ac:dyDescent="0.25">
      <c r="B85" s="1"/>
      <c r="C85" s="1"/>
      <c r="D85" s="1"/>
      <c r="F85" s="8"/>
      <c r="G85" s="8"/>
      <c r="H85" s="8"/>
      <c r="I85" s="8"/>
    </row>
    <row r="86" spans="2:9" x14ac:dyDescent="0.25">
      <c r="B86" s="1"/>
      <c r="C86" s="1"/>
      <c r="D86" s="1"/>
    </row>
    <row r="87" spans="2:9" x14ac:dyDescent="0.25">
      <c r="B87" s="1"/>
      <c r="C87" s="1"/>
      <c r="D87" s="1"/>
    </row>
    <row r="88" spans="2:9" x14ac:dyDescent="0.25">
      <c r="B88" s="1"/>
      <c r="C88" s="1"/>
      <c r="D88" s="1"/>
    </row>
    <row r="89" spans="2:9" x14ac:dyDescent="0.25">
      <c r="B89" s="1"/>
      <c r="C89" s="1"/>
      <c r="D89" s="1"/>
    </row>
    <row r="90" spans="2:9" x14ac:dyDescent="0.25">
      <c r="B90" s="1"/>
      <c r="C90" s="1"/>
      <c r="D90" s="1"/>
    </row>
    <row r="91" spans="2:9" x14ac:dyDescent="0.25">
      <c r="B91" s="1"/>
      <c r="C91" s="1"/>
      <c r="D91" s="1"/>
    </row>
    <row r="92" spans="2:9" x14ac:dyDescent="0.25">
      <c r="B92" s="1"/>
      <c r="C92" s="1"/>
      <c r="D92" s="1"/>
    </row>
    <row r="93" spans="2:9" x14ac:dyDescent="0.25">
      <c r="B93" s="1"/>
      <c r="C93" s="1"/>
      <c r="D93" s="1"/>
    </row>
    <row r="94" spans="2:9" x14ac:dyDescent="0.25">
      <c r="B94" s="1"/>
      <c r="C94" s="1"/>
      <c r="D94" s="1"/>
    </row>
    <row r="95" spans="2:9" x14ac:dyDescent="0.25">
      <c r="B95" s="1"/>
      <c r="C95" s="1"/>
      <c r="D95" s="1"/>
    </row>
    <row r="96" spans="2:9" x14ac:dyDescent="0.25">
      <c r="B96" s="1"/>
      <c r="C96" s="1"/>
      <c r="D96" s="1"/>
    </row>
    <row r="97" spans="2:9" x14ac:dyDescent="0.25">
      <c r="B97" s="1"/>
      <c r="C97" s="1"/>
      <c r="D97" s="1"/>
    </row>
    <row r="98" spans="2:9" x14ac:dyDescent="0.25">
      <c r="B98" s="1"/>
      <c r="C98" s="1"/>
      <c r="D98" s="1"/>
    </row>
    <row r="99" spans="2:9" x14ac:dyDescent="0.25">
      <c r="B99" s="1"/>
      <c r="C99" s="1"/>
      <c r="D99" s="1"/>
    </row>
    <row r="100" spans="2:9" ht="15.6" x14ac:dyDescent="0.3">
      <c r="B100" s="1"/>
      <c r="C100" s="1"/>
      <c r="D100" s="1"/>
      <c r="F100" s="7"/>
      <c r="G100" s="7"/>
      <c r="H100" s="7"/>
      <c r="I100" s="7"/>
    </row>
    <row r="101" spans="2:9" ht="15.6" x14ac:dyDescent="0.25">
      <c r="B101" s="1"/>
      <c r="C101" s="1"/>
      <c r="D101" s="1"/>
      <c r="F101" s="8"/>
      <c r="G101" s="8"/>
      <c r="H101" s="8"/>
      <c r="I101" s="8"/>
    </row>
    <row r="102" spans="2:9" x14ac:dyDescent="0.25">
      <c r="B102" s="1"/>
      <c r="C102" s="1"/>
      <c r="D102" s="1"/>
    </row>
    <row r="103" spans="2:9" x14ac:dyDescent="0.25">
      <c r="B103" s="1"/>
      <c r="C103" s="1"/>
      <c r="D103" s="1"/>
    </row>
    <row r="104" spans="2:9" x14ac:dyDescent="0.25">
      <c r="B104" s="1"/>
      <c r="C104" s="1"/>
      <c r="D104" s="1"/>
    </row>
    <row r="105" spans="2:9" x14ac:dyDescent="0.25">
      <c r="B105" s="1"/>
      <c r="C105" s="1"/>
      <c r="D105" s="1"/>
    </row>
    <row r="106" spans="2:9" x14ac:dyDescent="0.25">
      <c r="B106" s="1"/>
      <c r="C106" s="1"/>
      <c r="D106" s="1"/>
    </row>
    <row r="107" spans="2:9" x14ac:dyDescent="0.25">
      <c r="B107" s="1"/>
      <c r="C107" s="1"/>
      <c r="D107" s="1"/>
    </row>
    <row r="108" spans="2:9" x14ac:dyDescent="0.25">
      <c r="B108" s="1"/>
      <c r="C108" s="1"/>
      <c r="D108" s="1"/>
    </row>
    <row r="109" spans="2:9" x14ac:dyDescent="0.25">
      <c r="B109" s="1"/>
      <c r="C109" s="1"/>
      <c r="D109" s="1"/>
    </row>
    <row r="110" spans="2:9" x14ac:dyDescent="0.25">
      <c r="B110" s="1"/>
      <c r="C110" s="1"/>
      <c r="D110" s="1"/>
    </row>
    <row r="111" spans="2:9" x14ac:dyDescent="0.25">
      <c r="B111" s="1"/>
      <c r="C111" s="1"/>
      <c r="D111" s="1"/>
    </row>
    <row r="112" spans="2:9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</sheetData>
  <mergeCells count="27">
    <mergeCell ref="F26:I26"/>
    <mergeCell ref="K27:N27"/>
    <mergeCell ref="A38:D38"/>
    <mergeCell ref="A71:N71"/>
    <mergeCell ref="F40:I40"/>
    <mergeCell ref="K40:N40"/>
    <mergeCell ref="F50:I50"/>
    <mergeCell ref="K50:N50"/>
    <mergeCell ref="K56:N56"/>
    <mergeCell ref="K59:N59"/>
    <mergeCell ref="F64:I64"/>
    <mergeCell ref="A72:N72"/>
    <mergeCell ref="A73:N73"/>
    <mergeCell ref="A1:N1"/>
    <mergeCell ref="A3:A4"/>
    <mergeCell ref="B3:D3"/>
    <mergeCell ref="F3:F4"/>
    <mergeCell ref="G3:I3"/>
    <mergeCell ref="K3:K4"/>
    <mergeCell ref="L3:N3"/>
    <mergeCell ref="A5:D5"/>
    <mergeCell ref="F5:I5"/>
    <mergeCell ref="F13:I13"/>
    <mergeCell ref="K14:N14"/>
    <mergeCell ref="A16:D16"/>
    <mergeCell ref="F16:I16"/>
    <mergeCell ref="A26:D26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0"/>
  <sheetViews>
    <sheetView zoomScale="130" zoomScaleNormal="130" zoomScaleSheetLayoutView="100" workbookViewId="0">
      <selection sqref="A1:G1"/>
    </sheetView>
  </sheetViews>
  <sheetFormatPr defaultColWidth="9.109375" defaultRowHeight="13.2" x14ac:dyDescent="0.25"/>
  <cols>
    <col min="1" max="7" width="14.6640625" style="1" customWidth="1"/>
    <col min="8" max="16384" width="9.109375" style="1"/>
  </cols>
  <sheetData>
    <row r="1" spans="1:7" ht="24.9" customHeight="1" x14ac:dyDescent="0.25">
      <c r="A1" s="174" t="s">
        <v>683</v>
      </c>
      <c r="B1" s="174"/>
      <c r="C1" s="174"/>
      <c r="D1" s="174"/>
      <c r="E1" s="174"/>
      <c r="F1" s="174"/>
      <c r="G1" s="174"/>
    </row>
    <row r="2" spans="1:7" ht="13.8" thickBot="1" x14ac:dyDescent="0.3">
      <c r="A2" s="24"/>
      <c r="B2" s="24"/>
      <c r="C2" s="24"/>
      <c r="D2" s="24"/>
      <c r="E2" s="24"/>
      <c r="F2" s="24"/>
      <c r="G2" s="24"/>
    </row>
    <row r="3" spans="1:7" x14ac:dyDescent="0.25">
      <c r="A3" s="226" t="s">
        <v>0</v>
      </c>
      <c r="B3" s="228" t="s">
        <v>31</v>
      </c>
      <c r="C3" s="228"/>
      <c r="D3" s="228"/>
      <c r="E3" s="228"/>
      <c r="F3" s="228"/>
      <c r="G3" s="229"/>
    </row>
    <row r="4" spans="1:7" ht="13.8" thickBot="1" x14ac:dyDescent="0.3">
      <c r="A4" s="227"/>
      <c r="B4" s="95" t="s">
        <v>130</v>
      </c>
      <c r="C4" s="95" t="s">
        <v>70</v>
      </c>
      <c r="D4" s="96" t="s">
        <v>71</v>
      </c>
      <c r="E4" s="95" t="s">
        <v>72</v>
      </c>
      <c r="F4" s="95" t="s">
        <v>253</v>
      </c>
      <c r="G4" s="97" t="s">
        <v>840</v>
      </c>
    </row>
    <row r="5" spans="1:7" ht="24.9" customHeight="1" x14ac:dyDescent="0.25">
      <c r="A5" s="225" t="s">
        <v>507</v>
      </c>
      <c r="B5" s="225"/>
      <c r="C5" s="225"/>
      <c r="D5" s="225"/>
      <c r="E5" s="225"/>
      <c r="F5" s="225"/>
      <c r="G5" s="225"/>
    </row>
    <row r="6" spans="1:7" x14ac:dyDescent="0.25">
      <c r="A6" s="98" t="s">
        <v>1</v>
      </c>
      <c r="B6" s="151">
        <f>4875</f>
        <v>4875</v>
      </c>
      <c r="C6" s="151">
        <f>7500</f>
        <v>7500</v>
      </c>
      <c r="D6" s="151">
        <f>8315</f>
        <v>8315</v>
      </c>
      <c r="E6" s="151">
        <f>14375</f>
        <v>14375</v>
      </c>
      <c r="F6" s="151">
        <f>19875</f>
        <v>19875</v>
      </c>
      <c r="G6" s="151">
        <f>25375</f>
        <v>25375</v>
      </c>
    </row>
    <row r="7" spans="1:7" x14ac:dyDescent="0.25">
      <c r="A7" s="99" t="s">
        <v>2</v>
      </c>
      <c r="B7" s="152">
        <f>6250</f>
        <v>6250</v>
      </c>
      <c r="C7" s="152">
        <f>8125</f>
        <v>8125</v>
      </c>
      <c r="D7" s="152">
        <f>11125</f>
        <v>11125</v>
      </c>
      <c r="E7" s="152">
        <f>16720</f>
        <v>16720</v>
      </c>
      <c r="F7" s="152">
        <f>23000</f>
        <v>23000</v>
      </c>
      <c r="G7" s="152">
        <f>29250</f>
        <v>29250</v>
      </c>
    </row>
    <row r="8" spans="1:7" x14ac:dyDescent="0.25">
      <c r="A8" s="100" t="s">
        <v>3</v>
      </c>
      <c r="B8" s="153">
        <f>6750</f>
        <v>6750</v>
      </c>
      <c r="C8" s="153">
        <f>8750</f>
        <v>8750</v>
      </c>
      <c r="D8" s="153">
        <f>12125</f>
        <v>12125</v>
      </c>
      <c r="E8" s="153">
        <f>18280</f>
        <v>18280</v>
      </c>
      <c r="F8" s="153">
        <f>25125</f>
        <v>25125</v>
      </c>
      <c r="G8" s="153">
        <f>32000</f>
        <v>32000</v>
      </c>
    </row>
    <row r="9" spans="1:7" x14ac:dyDescent="0.25">
      <c r="A9" s="99" t="s">
        <v>4</v>
      </c>
      <c r="B9" s="152">
        <f>7250</f>
        <v>7250</v>
      </c>
      <c r="C9" s="152">
        <f>9375</f>
        <v>9375</v>
      </c>
      <c r="D9" s="152">
        <f>13315</f>
        <v>13315</v>
      </c>
      <c r="E9" s="152">
        <f>19845</f>
        <v>19845</v>
      </c>
      <c r="F9" s="152">
        <f>27315</f>
        <v>27315</v>
      </c>
      <c r="G9" s="152">
        <f>34715</f>
        <v>34715</v>
      </c>
    </row>
    <row r="10" spans="1:7" x14ac:dyDescent="0.25">
      <c r="A10" s="221" t="s">
        <v>508</v>
      </c>
      <c r="B10" s="221"/>
      <c r="C10" s="221"/>
      <c r="D10" s="221"/>
      <c r="E10" s="221"/>
      <c r="F10" s="221"/>
      <c r="G10" s="221"/>
    </row>
    <row r="11" spans="1:7" ht="24.9" customHeight="1" x14ac:dyDescent="0.25">
      <c r="A11" s="225" t="s">
        <v>509</v>
      </c>
      <c r="B11" s="225"/>
      <c r="C11" s="225"/>
      <c r="D11" s="225"/>
      <c r="E11" s="225"/>
      <c r="F11" s="225"/>
      <c r="G11" s="225"/>
    </row>
    <row r="12" spans="1:7" x14ac:dyDescent="0.25">
      <c r="A12" s="98" t="s">
        <v>1</v>
      </c>
      <c r="B12" s="151">
        <f>5250</f>
        <v>5250</v>
      </c>
      <c r="C12" s="151">
        <f>8250</f>
        <v>8250</v>
      </c>
      <c r="D12" s="151">
        <f>12440</f>
        <v>12440</v>
      </c>
      <c r="E12" s="151">
        <f>14845</f>
        <v>14845</v>
      </c>
      <c r="F12" s="151">
        <f>23750</f>
        <v>23750</v>
      </c>
      <c r="G12" s="151">
        <f>32700</f>
        <v>32700</v>
      </c>
    </row>
    <row r="13" spans="1:7" x14ac:dyDescent="0.25">
      <c r="A13" s="99" t="s">
        <v>2</v>
      </c>
      <c r="B13" s="152">
        <f>6250</f>
        <v>6250</v>
      </c>
      <c r="C13" s="152">
        <f>9750</f>
        <v>9750</v>
      </c>
      <c r="D13" s="152">
        <f>14625</f>
        <v>14625</v>
      </c>
      <c r="E13" s="152">
        <f>16405</f>
        <v>16405</v>
      </c>
      <c r="F13" s="152">
        <f>27125</f>
        <v>27125</v>
      </c>
      <c r="G13" s="152">
        <f>37800</f>
        <v>37800</v>
      </c>
    </row>
    <row r="14" spans="1:7" x14ac:dyDescent="0.25">
      <c r="A14" s="100" t="s">
        <v>3</v>
      </c>
      <c r="B14" s="153">
        <f>6750</f>
        <v>6750</v>
      </c>
      <c r="C14" s="153">
        <f>10500</f>
        <v>10500</v>
      </c>
      <c r="D14" s="153">
        <f>15690</f>
        <v>15690</v>
      </c>
      <c r="E14" s="153">
        <f>19530</f>
        <v>19530</v>
      </c>
      <c r="F14" s="153">
        <f>30465</f>
        <v>30465</v>
      </c>
      <c r="G14" s="153">
        <f>41400</f>
        <v>41400</v>
      </c>
    </row>
    <row r="15" spans="1:7" x14ac:dyDescent="0.25">
      <c r="A15" s="99" t="s">
        <v>4</v>
      </c>
      <c r="B15" s="152">
        <f>7250</f>
        <v>7250</v>
      </c>
      <c r="C15" s="152">
        <f>11065</f>
        <v>11065</v>
      </c>
      <c r="D15" s="152">
        <f>17250</f>
        <v>17250</v>
      </c>
      <c r="E15" s="152">
        <f>22655</f>
        <v>22655</v>
      </c>
      <c r="F15" s="152">
        <f>33750</f>
        <v>33750</v>
      </c>
      <c r="G15" s="152">
        <f>44850</f>
        <v>44850</v>
      </c>
    </row>
    <row r="16" spans="1:7" x14ac:dyDescent="0.25">
      <c r="A16" s="100" t="s">
        <v>5</v>
      </c>
      <c r="B16" s="153">
        <f>7750</f>
        <v>7750</v>
      </c>
      <c r="C16" s="153">
        <f>14375</f>
        <v>14375</v>
      </c>
      <c r="D16" s="153">
        <f>19065</f>
        <v>19065</v>
      </c>
      <c r="E16" s="153">
        <f>25780</f>
        <v>25780</v>
      </c>
      <c r="F16" s="153">
        <f>37190</f>
        <v>37190</v>
      </c>
      <c r="G16" s="153">
        <f>48600</f>
        <v>48600</v>
      </c>
    </row>
    <row r="17" spans="1:7" x14ac:dyDescent="0.25">
      <c r="A17" s="99" t="s">
        <v>6</v>
      </c>
      <c r="B17" s="152">
        <f>8250</f>
        <v>8250</v>
      </c>
      <c r="C17" s="152">
        <f>15315</f>
        <v>15315</v>
      </c>
      <c r="D17" s="152">
        <f>20875</f>
        <v>20875</v>
      </c>
      <c r="E17" s="152">
        <f>28905</f>
        <v>28905</v>
      </c>
      <c r="F17" s="152">
        <f>40625</f>
        <v>40625</v>
      </c>
      <c r="G17" s="152">
        <f>52350</f>
        <v>52350</v>
      </c>
    </row>
    <row r="18" spans="1:7" x14ac:dyDescent="0.25">
      <c r="A18" s="100" t="s">
        <v>7</v>
      </c>
      <c r="B18" s="153">
        <f>8750</f>
        <v>8750</v>
      </c>
      <c r="C18" s="153">
        <f>16250</f>
        <v>16250</v>
      </c>
      <c r="D18" s="153">
        <f>22625</f>
        <v>22625</v>
      </c>
      <c r="E18" s="153">
        <f>32030</f>
        <v>32030</v>
      </c>
      <c r="F18" s="153">
        <f>44065</f>
        <v>44065</v>
      </c>
      <c r="G18" s="153">
        <f>56100</f>
        <v>56100</v>
      </c>
    </row>
    <row r="19" spans="1:7" x14ac:dyDescent="0.25">
      <c r="A19" s="99" t="s">
        <v>8</v>
      </c>
      <c r="B19" s="152">
        <f>9250</f>
        <v>9250</v>
      </c>
      <c r="C19" s="152">
        <f>17030</f>
        <v>17030</v>
      </c>
      <c r="D19" s="152">
        <f>24440</f>
        <v>24440</v>
      </c>
      <c r="E19" s="152">
        <f>35155</f>
        <v>35155</v>
      </c>
      <c r="F19" s="152">
        <f>47500</f>
        <v>47500</v>
      </c>
      <c r="G19" s="152">
        <f>59850</f>
        <v>59850</v>
      </c>
    </row>
    <row r="20" spans="1:7" x14ac:dyDescent="0.25">
      <c r="A20" s="100" t="s">
        <v>9</v>
      </c>
      <c r="B20" s="153">
        <f>9750</f>
        <v>9750</v>
      </c>
      <c r="C20" s="153">
        <f>17815</f>
        <v>17815</v>
      </c>
      <c r="D20" s="153">
        <f>26250</f>
        <v>26250</v>
      </c>
      <c r="E20" s="153">
        <f>38280</f>
        <v>38280</v>
      </c>
      <c r="F20" s="153">
        <f>50940</f>
        <v>50940</v>
      </c>
      <c r="G20" s="153">
        <f>63600</f>
        <v>63600</v>
      </c>
    </row>
    <row r="21" spans="1:7" x14ac:dyDescent="0.25">
      <c r="A21" s="99" t="s">
        <v>10</v>
      </c>
      <c r="B21" s="152">
        <f>10250</f>
        <v>10250</v>
      </c>
      <c r="C21" s="152">
        <f>18750</f>
        <v>18750</v>
      </c>
      <c r="D21" s="152">
        <f>28065</f>
        <v>28065</v>
      </c>
      <c r="E21" s="152">
        <f>41405</f>
        <v>41405</v>
      </c>
      <c r="F21" s="152">
        <f>54375</f>
        <v>54375</v>
      </c>
      <c r="G21" s="152">
        <f>67350</f>
        <v>67350</v>
      </c>
    </row>
    <row r="22" spans="1:7" x14ac:dyDescent="0.25">
      <c r="A22" s="101" t="s">
        <v>12</v>
      </c>
      <c r="B22" s="254">
        <f>1500</f>
        <v>1500</v>
      </c>
      <c r="C22" s="254">
        <f>3125</f>
        <v>3125</v>
      </c>
      <c r="D22" s="254">
        <f>4375</f>
        <v>4375</v>
      </c>
      <c r="E22" s="254">
        <f>5625</f>
        <v>5625</v>
      </c>
      <c r="F22" s="254">
        <f>6875</f>
        <v>6875</v>
      </c>
      <c r="G22" s="254">
        <f>7500</f>
        <v>7500</v>
      </c>
    </row>
    <row r="23" spans="1:7" x14ac:dyDescent="0.25">
      <c r="A23" s="102"/>
      <c r="B23" s="102"/>
      <c r="C23" s="102"/>
      <c r="D23" s="102"/>
      <c r="E23" s="102"/>
      <c r="F23" s="102"/>
      <c r="G23" s="102"/>
    </row>
    <row r="24" spans="1:7" ht="12.75" customHeight="1" x14ac:dyDescent="0.25">
      <c r="A24" s="216" t="s">
        <v>680</v>
      </c>
      <c r="B24" s="216"/>
      <c r="C24" s="216"/>
      <c r="D24" s="216"/>
      <c r="E24" s="216"/>
      <c r="F24" s="216"/>
      <c r="G24" s="216"/>
    </row>
    <row r="25" spans="1:7" ht="12.75" customHeight="1" x14ac:dyDescent="0.25">
      <c r="A25" s="216" t="s">
        <v>224</v>
      </c>
      <c r="B25" s="216"/>
      <c r="C25" s="216"/>
      <c r="D25" s="216"/>
      <c r="E25" s="216"/>
      <c r="F25" s="216"/>
      <c r="G25" s="216"/>
    </row>
    <row r="26" spans="1:7" ht="25.05" customHeight="1" x14ac:dyDescent="0.25">
      <c r="A26" s="216" t="s">
        <v>681</v>
      </c>
      <c r="B26" s="216"/>
      <c r="C26" s="216"/>
      <c r="D26" s="216"/>
      <c r="E26" s="216"/>
      <c r="F26" s="216"/>
      <c r="G26" s="216"/>
    </row>
    <row r="27" spans="1:7" ht="12.75" customHeight="1" x14ac:dyDescent="0.25">
      <c r="A27" s="216"/>
      <c r="B27" s="216"/>
      <c r="C27" s="216"/>
      <c r="D27" s="216"/>
      <c r="E27" s="216"/>
      <c r="F27" s="216"/>
      <c r="G27" s="216"/>
    </row>
    <row r="28" spans="1:7" ht="24.9" customHeight="1" x14ac:dyDescent="0.25">
      <c r="A28" s="216" t="s">
        <v>682</v>
      </c>
      <c r="B28" s="216"/>
      <c r="C28" s="216"/>
      <c r="D28" s="216"/>
      <c r="E28" s="216"/>
      <c r="F28" s="216"/>
      <c r="G28" s="216"/>
    </row>
    <row r="29" spans="1:7" s="103" customFormat="1" ht="28.5" customHeight="1" x14ac:dyDescent="0.25">
      <c r="A29" s="217" t="s">
        <v>246</v>
      </c>
      <c r="B29" s="217"/>
      <c r="C29" s="217"/>
      <c r="D29" s="217"/>
      <c r="E29" s="217"/>
      <c r="F29" s="217"/>
      <c r="G29" s="217"/>
    </row>
    <row r="30" spans="1:7" ht="12.75" customHeight="1" x14ac:dyDescent="0.25">
      <c r="A30" s="216" t="s">
        <v>512</v>
      </c>
      <c r="B30" s="216"/>
      <c r="C30" s="216"/>
      <c r="D30" s="216"/>
      <c r="E30" s="216"/>
      <c r="F30" s="216"/>
      <c r="G30" s="216"/>
    </row>
  </sheetData>
  <mergeCells count="13">
    <mergeCell ref="A30:G30"/>
    <mergeCell ref="A24:G24"/>
    <mergeCell ref="A25:G25"/>
    <mergeCell ref="A26:G26"/>
    <mergeCell ref="A27:G27"/>
    <mergeCell ref="A28:G28"/>
    <mergeCell ref="A29:G29"/>
    <mergeCell ref="A11:G11"/>
    <mergeCell ref="A1:G1"/>
    <mergeCell ref="A3:A4"/>
    <mergeCell ref="B3:G3"/>
    <mergeCell ref="A5:G5"/>
    <mergeCell ref="A10:G10"/>
  </mergeCells>
  <printOptions horizontalCentered="1" verticalCentered="1"/>
  <pageMargins left="0.39370078740157483" right="0.39370078740157483" top="0.98425196850393704" bottom="0.39370078740157483" header="0" footer="0"/>
  <pageSetup paperSize="9" scale="8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78"/>
  <sheetViews>
    <sheetView zoomScale="130" zoomScaleNormal="130" zoomScaleSheetLayoutView="100" workbookViewId="0">
      <selection activeCell="D5" sqref="D5"/>
    </sheetView>
  </sheetViews>
  <sheetFormatPr defaultColWidth="9.109375" defaultRowHeight="13.2" x14ac:dyDescent="0.25"/>
  <cols>
    <col min="1" max="1" width="20.6640625" style="1" customWidth="1"/>
    <col min="2" max="2" width="2.6640625" style="86" customWidth="1"/>
    <col min="3" max="3" width="20.6640625" style="1" customWidth="1"/>
    <col min="4" max="4" width="2.6640625" style="86" customWidth="1"/>
    <col min="5" max="5" width="20.6640625" style="1" customWidth="1"/>
    <col min="6" max="6" width="2.6640625" style="86" customWidth="1"/>
    <col min="7" max="7" width="20.6640625" style="86" customWidth="1"/>
    <col min="8" max="8" width="2.6640625" style="86" customWidth="1"/>
    <col min="9" max="16384" width="9.109375" style="1"/>
  </cols>
  <sheetData>
    <row r="1" spans="1:8" s="80" customFormat="1" ht="25.5" customHeight="1" x14ac:dyDescent="0.25">
      <c r="A1" s="174" t="s">
        <v>300</v>
      </c>
      <c r="B1" s="174"/>
      <c r="C1" s="174"/>
      <c r="D1" s="174"/>
      <c r="E1" s="174"/>
      <c r="F1" s="174"/>
      <c r="G1" s="174"/>
      <c r="H1" s="174"/>
    </row>
    <row r="2" spans="1:8" ht="42" x14ac:dyDescent="0.25">
      <c r="A2" s="81" t="s">
        <v>301</v>
      </c>
      <c r="B2" s="82" t="s">
        <v>302</v>
      </c>
      <c r="C2" s="81" t="s">
        <v>301</v>
      </c>
      <c r="D2" s="82" t="s">
        <v>302</v>
      </c>
      <c r="E2" s="81" t="s">
        <v>301</v>
      </c>
      <c r="F2" s="82" t="s">
        <v>302</v>
      </c>
      <c r="G2" s="81" t="s">
        <v>301</v>
      </c>
      <c r="H2" s="82" t="s">
        <v>302</v>
      </c>
    </row>
    <row r="3" spans="1:8" ht="11.4" customHeight="1" x14ac:dyDescent="0.25">
      <c r="A3" s="232" t="s">
        <v>303</v>
      </c>
      <c r="B3" s="232"/>
      <c r="C3" s="83" t="s">
        <v>304</v>
      </c>
      <c r="D3" s="84">
        <v>8</v>
      </c>
      <c r="E3" s="215" t="s">
        <v>323</v>
      </c>
      <c r="F3" s="215"/>
      <c r="G3" s="83" t="s">
        <v>320</v>
      </c>
      <c r="H3" s="84">
        <v>8</v>
      </c>
    </row>
    <row r="4" spans="1:8" ht="11.4" customHeight="1" x14ac:dyDescent="0.25">
      <c r="A4" s="83" t="s">
        <v>307</v>
      </c>
      <c r="B4" s="84">
        <v>7</v>
      </c>
      <c r="C4" s="83" t="s">
        <v>308</v>
      </c>
      <c r="D4" s="84">
        <v>4</v>
      </c>
      <c r="E4" s="83" t="s">
        <v>327</v>
      </c>
      <c r="F4" s="84">
        <v>8</v>
      </c>
      <c r="G4" s="83" t="s">
        <v>324</v>
      </c>
      <c r="H4" s="84">
        <v>8</v>
      </c>
    </row>
    <row r="5" spans="1:8" ht="11.4" customHeight="1" x14ac:dyDescent="0.25">
      <c r="A5" s="83" t="s">
        <v>309</v>
      </c>
      <c r="B5" s="84">
        <v>1</v>
      </c>
      <c r="C5" s="83" t="s">
        <v>310</v>
      </c>
      <c r="D5" s="84">
        <v>8</v>
      </c>
      <c r="E5" s="83" t="s">
        <v>331</v>
      </c>
      <c r="F5" s="84">
        <v>8</v>
      </c>
      <c r="G5" s="83" t="s">
        <v>328</v>
      </c>
      <c r="H5" s="84">
        <v>6</v>
      </c>
    </row>
    <row r="6" spans="1:8" ht="11.4" customHeight="1" x14ac:dyDescent="0.25">
      <c r="A6" s="83" t="s">
        <v>685</v>
      </c>
      <c r="B6" s="84">
        <v>5</v>
      </c>
      <c r="C6" s="83" t="s">
        <v>314</v>
      </c>
      <c r="D6" s="84">
        <v>8</v>
      </c>
      <c r="E6" s="83" t="s">
        <v>335</v>
      </c>
      <c r="F6" s="84">
        <v>8</v>
      </c>
      <c r="G6" s="83" t="s">
        <v>332</v>
      </c>
      <c r="H6" s="84">
        <v>4</v>
      </c>
    </row>
    <row r="7" spans="1:8" ht="11.4" customHeight="1" x14ac:dyDescent="0.25">
      <c r="A7" s="83" t="s">
        <v>313</v>
      </c>
      <c r="B7" s="84">
        <v>6</v>
      </c>
      <c r="C7" s="83" t="s">
        <v>318</v>
      </c>
      <c r="D7" s="84">
        <v>1</v>
      </c>
      <c r="E7" s="83" t="s">
        <v>338</v>
      </c>
      <c r="F7" s="84">
        <v>6</v>
      </c>
      <c r="G7" s="83" t="s">
        <v>339</v>
      </c>
      <c r="H7" s="84">
        <v>6</v>
      </c>
    </row>
    <row r="8" spans="1:8" ht="11.4" customHeight="1" x14ac:dyDescent="0.25">
      <c r="A8" s="83" t="s">
        <v>317</v>
      </c>
      <c r="B8" s="84">
        <v>8</v>
      </c>
      <c r="C8" s="83" t="s">
        <v>322</v>
      </c>
      <c r="D8" s="84">
        <v>5</v>
      </c>
      <c r="E8" s="83" t="s">
        <v>342</v>
      </c>
      <c r="F8" s="84">
        <v>6</v>
      </c>
      <c r="G8" s="83" t="s">
        <v>343</v>
      </c>
      <c r="H8" s="84">
        <v>6</v>
      </c>
    </row>
    <row r="9" spans="1:8" ht="11.4" customHeight="1" x14ac:dyDescent="0.25">
      <c r="A9" s="83" t="s">
        <v>321</v>
      </c>
      <c r="B9" s="84">
        <v>8</v>
      </c>
      <c r="C9" s="83" t="s">
        <v>326</v>
      </c>
      <c r="D9" s="84">
        <v>8</v>
      </c>
      <c r="E9" s="83" t="s">
        <v>346</v>
      </c>
      <c r="F9" s="84">
        <v>8</v>
      </c>
      <c r="G9" s="83" t="s">
        <v>822</v>
      </c>
      <c r="H9" s="84">
        <v>8</v>
      </c>
    </row>
    <row r="10" spans="1:8" ht="11.4" customHeight="1" x14ac:dyDescent="0.25">
      <c r="A10" s="83" t="s">
        <v>325</v>
      </c>
      <c r="B10" s="84">
        <v>8</v>
      </c>
      <c r="C10" s="231" t="s">
        <v>330</v>
      </c>
      <c r="D10" s="231"/>
      <c r="E10" s="83" t="s">
        <v>350</v>
      </c>
      <c r="F10" s="84">
        <v>6</v>
      </c>
      <c r="G10" s="83" t="s">
        <v>347</v>
      </c>
      <c r="H10" s="84">
        <v>8</v>
      </c>
    </row>
    <row r="11" spans="1:8" ht="11.4" customHeight="1" x14ac:dyDescent="0.25">
      <c r="A11" s="83" t="s">
        <v>329</v>
      </c>
      <c r="B11" s="84">
        <v>8</v>
      </c>
      <c r="C11" s="83" t="s">
        <v>334</v>
      </c>
      <c r="D11" s="84">
        <v>1</v>
      </c>
      <c r="E11" s="83" t="s">
        <v>823</v>
      </c>
      <c r="F11" s="84">
        <v>8</v>
      </c>
      <c r="G11" s="83" t="s">
        <v>351</v>
      </c>
      <c r="H11" s="84">
        <v>2</v>
      </c>
    </row>
    <row r="12" spans="1:8" ht="11.4" customHeight="1" x14ac:dyDescent="0.25">
      <c r="A12" s="83" t="s">
        <v>333</v>
      </c>
      <c r="B12" s="84">
        <v>1</v>
      </c>
      <c r="C12" s="83" t="s">
        <v>337</v>
      </c>
      <c r="D12" s="84">
        <v>6</v>
      </c>
      <c r="E12" s="83" t="s">
        <v>354</v>
      </c>
      <c r="F12" s="84">
        <v>8</v>
      </c>
      <c r="G12" s="83" t="s">
        <v>824</v>
      </c>
      <c r="H12" s="84">
        <v>8</v>
      </c>
    </row>
    <row r="13" spans="1:8" ht="11.4" customHeight="1" x14ac:dyDescent="0.25">
      <c r="A13" s="83" t="s">
        <v>336</v>
      </c>
      <c r="B13" s="84">
        <v>8</v>
      </c>
      <c r="C13" s="83" t="s">
        <v>341</v>
      </c>
      <c r="D13" s="84">
        <v>8</v>
      </c>
      <c r="E13" s="83" t="s">
        <v>358</v>
      </c>
      <c r="F13" s="84">
        <v>8</v>
      </c>
      <c r="G13" s="215" t="s">
        <v>355</v>
      </c>
      <c r="H13" s="215"/>
    </row>
    <row r="14" spans="1:8" ht="11.4" customHeight="1" x14ac:dyDescent="0.25">
      <c r="A14" s="83" t="s">
        <v>340</v>
      </c>
      <c r="B14" s="84">
        <v>8</v>
      </c>
      <c r="C14" s="83" t="s">
        <v>345</v>
      </c>
      <c r="D14" s="84">
        <v>8</v>
      </c>
      <c r="E14" s="83" t="s">
        <v>361</v>
      </c>
      <c r="F14" s="84">
        <v>1</v>
      </c>
      <c r="G14" s="83" t="s">
        <v>688</v>
      </c>
      <c r="H14" s="84">
        <v>1</v>
      </c>
    </row>
    <row r="15" spans="1:8" ht="11.4" customHeight="1" x14ac:dyDescent="0.25">
      <c r="A15" s="83" t="s">
        <v>686</v>
      </c>
      <c r="B15" s="84">
        <v>5</v>
      </c>
      <c r="C15" s="231" t="s">
        <v>349</v>
      </c>
      <c r="D15" s="231"/>
      <c r="E15" s="83" t="s">
        <v>365</v>
      </c>
      <c r="F15" s="84">
        <v>8</v>
      </c>
      <c r="G15" s="83" t="s">
        <v>359</v>
      </c>
      <c r="H15" s="84">
        <v>8</v>
      </c>
    </row>
    <row r="16" spans="1:8" ht="11.4" customHeight="1" x14ac:dyDescent="0.25">
      <c r="A16" s="83" t="s">
        <v>344</v>
      </c>
      <c r="B16" s="84">
        <v>8</v>
      </c>
      <c r="C16" s="83" t="s">
        <v>353</v>
      </c>
      <c r="D16" s="84">
        <v>1</v>
      </c>
      <c r="E16" s="83" t="s">
        <v>368</v>
      </c>
      <c r="F16" s="84">
        <v>8</v>
      </c>
      <c r="G16" s="83" t="s">
        <v>362</v>
      </c>
      <c r="H16" s="84">
        <v>4</v>
      </c>
    </row>
    <row r="17" spans="1:8" ht="11.4" customHeight="1" x14ac:dyDescent="0.25">
      <c r="A17" s="83" t="s">
        <v>348</v>
      </c>
      <c r="B17" s="84">
        <v>3</v>
      </c>
      <c r="C17" s="231" t="s">
        <v>357</v>
      </c>
      <c r="D17" s="231"/>
      <c r="E17" s="83" t="s">
        <v>372</v>
      </c>
      <c r="F17" s="84">
        <v>6</v>
      </c>
      <c r="G17" s="83" t="s">
        <v>366</v>
      </c>
      <c r="H17" s="84">
        <v>4</v>
      </c>
    </row>
    <row r="18" spans="1:8" ht="11.4" customHeight="1" x14ac:dyDescent="0.25">
      <c r="A18" s="231" t="s">
        <v>352</v>
      </c>
      <c r="B18" s="231"/>
      <c r="C18" s="83" t="s">
        <v>364</v>
      </c>
      <c r="D18" s="84">
        <v>8</v>
      </c>
      <c r="E18" s="83" t="s">
        <v>825</v>
      </c>
      <c r="F18" s="84">
        <v>8</v>
      </c>
      <c r="G18" s="83" t="s">
        <v>369</v>
      </c>
      <c r="H18" s="84">
        <v>8</v>
      </c>
    </row>
    <row r="19" spans="1:8" ht="11.4" customHeight="1" x14ac:dyDescent="0.25">
      <c r="A19" s="83" t="s">
        <v>356</v>
      </c>
      <c r="B19" s="84">
        <v>8</v>
      </c>
      <c r="C19" s="231" t="s">
        <v>371</v>
      </c>
      <c r="D19" s="231"/>
      <c r="E19" s="83" t="s">
        <v>376</v>
      </c>
      <c r="F19" s="84">
        <v>8</v>
      </c>
      <c r="G19" s="83" t="s">
        <v>373</v>
      </c>
      <c r="H19" s="84">
        <v>8</v>
      </c>
    </row>
    <row r="20" spans="1:8" ht="11.4" customHeight="1" x14ac:dyDescent="0.25">
      <c r="A20" s="83" t="s">
        <v>360</v>
      </c>
      <c r="B20" s="84">
        <v>3</v>
      </c>
      <c r="C20" s="83" t="s">
        <v>375</v>
      </c>
      <c r="D20" s="84">
        <v>3</v>
      </c>
      <c r="E20" s="83" t="s">
        <v>380</v>
      </c>
      <c r="F20" s="84">
        <v>6</v>
      </c>
      <c r="G20" s="83" t="s">
        <v>377</v>
      </c>
      <c r="H20" s="84">
        <v>8</v>
      </c>
    </row>
    <row r="21" spans="1:8" ht="11.4" customHeight="1" x14ac:dyDescent="0.25">
      <c r="A21" s="83" t="s">
        <v>363</v>
      </c>
      <c r="B21" s="84">
        <v>8</v>
      </c>
      <c r="C21" s="83" t="s">
        <v>379</v>
      </c>
      <c r="D21" s="84">
        <v>3</v>
      </c>
      <c r="E21" s="83" t="s">
        <v>383</v>
      </c>
      <c r="F21" s="84">
        <v>1</v>
      </c>
      <c r="G21" s="83" t="s">
        <v>826</v>
      </c>
      <c r="H21" s="84">
        <v>8</v>
      </c>
    </row>
    <row r="22" spans="1:8" ht="11.4" customHeight="1" x14ac:dyDescent="0.25">
      <c r="A22" s="83" t="s">
        <v>367</v>
      </c>
      <c r="B22" s="84">
        <v>8</v>
      </c>
      <c r="C22" s="83" t="s">
        <v>382</v>
      </c>
      <c r="D22" s="84">
        <v>6</v>
      </c>
      <c r="E22" s="83" t="s">
        <v>386</v>
      </c>
      <c r="F22" s="84">
        <v>6</v>
      </c>
      <c r="G22" s="83" t="s">
        <v>384</v>
      </c>
      <c r="H22" s="84">
        <v>8</v>
      </c>
    </row>
    <row r="23" spans="1:8" ht="11.4" customHeight="1" x14ac:dyDescent="0.25">
      <c r="A23" s="83" t="s">
        <v>370</v>
      </c>
      <c r="B23" s="84">
        <v>1</v>
      </c>
      <c r="C23" s="83" t="s">
        <v>385</v>
      </c>
      <c r="D23" s="84">
        <v>3</v>
      </c>
      <c r="E23" s="83" t="s">
        <v>390</v>
      </c>
      <c r="F23" s="84">
        <v>6</v>
      </c>
      <c r="G23" s="83" t="s">
        <v>387</v>
      </c>
      <c r="H23" s="84">
        <v>6</v>
      </c>
    </row>
    <row r="24" spans="1:8" ht="11.4" customHeight="1" x14ac:dyDescent="0.25">
      <c r="A24" s="83" t="s">
        <v>374</v>
      </c>
      <c r="B24" s="84">
        <v>8</v>
      </c>
      <c r="C24" s="83" t="s">
        <v>389</v>
      </c>
      <c r="D24" s="84">
        <v>3</v>
      </c>
      <c r="E24" s="83" t="s">
        <v>393</v>
      </c>
      <c r="F24" s="84">
        <v>8</v>
      </c>
      <c r="G24" s="83" t="s">
        <v>391</v>
      </c>
      <c r="H24" s="84">
        <v>1</v>
      </c>
    </row>
    <row r="25" spans="1:8" ht="11.4" customHeight="1" x14ac:dyDescent="0.25">
      <c r="A25" s="83" t="s">
        <v>378</v>
      </c>
      <c r="B25" s="84">
        <v>1</v>
      </c>
      <c r="C25" s="83" t="s">
        <v>396</v>
      </c>
      <c r="D25" s="84">
        <v>1</v>
      </c>
      <c r="E25" s="83" t="s">
        <v>397</v>
      </c>
      <c r="F25" s="84">
        <v>6</v>
      </c>
      <c r="G25" s="215" t="s">
        <v>394</v>
      </c>
      <c r="H25" s="215"/>
    </row>
    <row r="26" spans="1:8" ht="11.4" customHeight="1" x14ac:dyDescent="0.25">
      <c r="A26" s="83" t="s">
        <v>381</v>
      </c>
      <c r="B26" s="84">
        <v>8</v>
      </c>
      <c r="C26" s="83" t="s">
        <v>400</v>
      </c>
      <c r="D26" s="84">
        <v>8</v>
      </c>
      <c r="E26" s="233" t="s">
        <v>401</v>
      </c>
      <c r="F26" s="233"/>
      <c r="G26" s="83" t="s">
        <v>398</v>
      </c>
      <c r="H26" s="84">
        <v>8</v>
      </c>
    </row>
    <row r="27" spans="1:8" ht="11.4" customHeight="1" x14ac:dyDescent="0.25">
      <c r="A27" s="83" t="s">
        <v>388</v>
      </c>
      <c r="B27" s="84">
        <v>8</v>
      </c>
      <c r="C27" s="83" t="s">
        <v>404</v>
      </c>
      <c r="D27" s="84">
        <v>1</v>
      </c>
      <c r="E27" s="83" t="s">
        <v>405</v>
      </c>
      <c r="F27" s="84">
        <v>8</v>
      </c>
      <c r="G27" s="83" t="s">
        <v>835</v>
      </c>
      <c r="H27" s="84">
        <v>5</v>
      </c>
    </row>
    <row r="28" spans="1:8" ht="11.4" customHeight="1" x14ac:dyDescent="0.25">
      <c r="A28" s="83" t="s">
        <v>392</v>
      </c>
      <c r="B28" s="84">
        <v>6</v>
      </c>
      <c r="C28" s="83" t="s">
        <v>408</v>
      </c>
      <c r="D28" s="84">
        <v>1</v>
      </c>
      <c r="E28" s="83" t="s">
        <v>827</v>
      </c>
      <c r="F28" s="84">
        <v>8</v>
      </c>
      <c r="G28" s="83" t="s">
        <v>402</v>
      </c>
      <c r="H28" s="84">
        <v>8</v>
      </c>
    </row>
    <row r="29" spans="1:8" ht="11.4" customHeight="1" x14ac:dyDescent="0.25">
      <c r="A29" s="83" t="s">
        <v>395</v>
      </c>
      <c r="B29" s="84">
        <v>8</v>
      </c>
      <c r="C29" s="215" t="s">
        <v>418</v>
      </c>
      <c r="D29" s="215"/>
      <c r="E29" s="83" t="s">
        <v>409</v>
      </c>
      <c r="F29" s="84">
        <v>6</v>
      </c>
      <c r="G29" s="215" t="s">
        <v>406</v>
      </c>
      <c r="H29" s="215"/>
    </row>
    <row r="30" spans="1:8" ht="11.4" customHeight="1" x14ac:dyDescent="0.25">
      <c r="A30" s="83" t="s">
        <v>399</v>
      </c>
      <c r="B30" s="84">
        <v>8</v>
      </c>
      <c r="C30" s="83" t="s">
        <v>422</v>
      </c>
      <c r="D30" s="84">
        <v>6</v>
      </c>
      <c r="E30" s="83" t="s">
        <v>412</v>
      </c>
      <c r="F30" s="84">
        <v>8</v>
      </c>
      <c r="G30" s="83" t="s">
        <v>410</v>
      </c>
      <c r="H30" s="84">
        <v>8</v>
      </c>
    </row>
    <row r="31" spans="1:8" ht="11.4" customHeight="1" x14ac:dyDescent="0.25">
      <c r="A31" s="83" t="s">
        <v>403</v>
      </c>
      <c r="B31" s="84">
        <v>6</v>
      </c>
      <c r="C31" s="83" t="s">
        <v>426</v>
      </c>
      <c r="D31" s="84">
        <v>8</v>
      </c>
      <c r="E31" s="83" t="s">
        <v>415</v>
      </c>
      <c r="F31" s="84">
        <v>8</v>
      </c>
      <c r="G31" s="83" t="s">
        <v>413</v>
      </c>
      <c r="H31" s="84">
        <v>4</v>
      </c>
    </row>
    <row r="32" spans="1:8" ht="11.4" customHeight="1" x14ac:dyDescent="0.25">
      <c r="A32" s="83" t="s">
        <v>407</v>
      </c>
      <c r="B32" s="84">
        <v>8</v>
      </c>
      <c r="C32" s="83" t="s">
        <v>430</v>
      </c>
      <c r="D32" s="84">
        <v>2</v>
      </c>
      <c r="E32" s="83" t="s">
        <v>419</v>
      </c>
      <c r="F32" s="84">
        <v>1</v>
      </c>
      <c r="G32" s="83" t="s">
        <v>416</v>
      </c>
      <c r="H32" s="84">
        <v>1</v>
      </c>
    </row>
    <row r="33" spans="1:8" ht="11.4" customHeight="1" x14ac:dyDescent="0.25">
      <c r="A33" s="83" t="s">
        <v>411</v>
      </c>
      <c r="B33" s="84">
        <v>8</v>
      </c>
      <c r="C33" s="83" t="s">
        <v>434</v>
      </c>
      <c r="D33" s="84">
        <v>8</v>
      </c>
      <c r="E33" s="83" t="s">
        <v>423</v>
      </c>
      <c r="F33" s="84">
        <v>8</v>
      </c>
      <c r="G33" s="83" t="s">
        <v>420</v>
      </c>
      <c r="H33" s="84">
        <v>1</v>
      </c>
    </row>
    <row r="34" spans="1:8" ht="11.4" customHeight="1" x14ac:dyDescent="0.25">
      <c r="A34" s="83" t="s">
        <v>414</v>
      </c>
      <c r="B34" s="84">
        <v>6</v>
      </c>
      <c r="C34" s="83" t="s">
        <v>438</v>
      </c>
      <c r="D34" s="84">
        <v>1</v>
      </c>
      <c r="E34" s="83" t="s">
        <v>427</v>
      </c>
      <c r="F34" s="84">
        <v>7</v>
      </c>
      <c r="G34" s="83" t="s">
        <v>424</v>
      </c>
      <c r="H34" s="84">
        <v>8</v>
      </c>
    </row>
    <row r="35" spans="1:8" ht="11.4" customHeight="1" x14ac:dyDescent="0.25">
      <c r="A35" s="83" t="s">
        <v>417</v>
      </c>
      <c r="B35" s="84">
        <v>8</v>
      </c>
      <c r="C35" s="83" t="s">
        <v>442</v>
      </c>
      <c r="D35" s="84">
        <v>8</v>
      </c>
      <c r="E35" s="83" t="s">
        <v>431</v>
      </c>
      <c r="F35" s="84">
        <v>8</v>
      </c>
      <c r="G35" s="83" t="s">
        <v>428</v>
      </c>
      <c r="H35" s="84">
        <v>8</v>
      </c>
    </row>
    <row r="36" spans="1:8" ht="11.4" customHeight="1" x14ac:dyDescent="0.25">
      <c r="A36" s="83" t="s">
        <v>421</v>
      </c>
      <c r="B36" s="84">
        <v>8</v>
      </c>
      <c r="C36" s="83" t="s">
        <v>446</v>
      </c>
      <c r="D36" s="84">
        <v>1</v>
      </c>
      <c r="E36" s="83" t="s">
        <v>435</v>
      </c>
      <c r="F36" s="84">
        <v>1</v>
      </c>
      <c r="G36" s="215" t="s">
        <v>432</v>
      </c>
      <c r="H36" s="215"/>
    </row>
    <row r="37" spans="1:8" ht="11.4" customHeight="1" x14ac:dyDescent="0.25">
      <c r="A37" s="83" t="s">
        <v>425</v>
      </c>
      <c r="B37" s="84">
        <v>3</v>
      </c>
      <c r="C37" s="83" t="s">
        <v>828</v>
      </c>
      <c r="D37" s="84">
        <v>8</v>
      </c>
      <c r="E37" s="215" t="s">
        <v>439</v>
      </c>
      <c r="F37" s="215"/>
      <c r="G37" s="83" t="s">
        <v>436</v>
      </c>
      <c r="H37" s="84">
        <v>6</v>
      </c>
    </row>
    <row r="38" spans="1:8" ht="11.4" customHeight="1" x14ac:dyDescent="0.25">
      <c r="A38" s="215" t="s">
        <v>429</v>
      </c>
      <c r="B38" s="215"/>
      <c r="C38" s="83" t="s">
        <v>687</v>
      </c>
      <c r="D38" s="84">
        <v>4</v>
      </c>
      <c r="E38" s="83" t="s">
        <v>443</v>
      </c>
      <c r="F38" s="84">
        <v>1</v>
      </c>
      <c r="G38" s="215" t="s">
        <v>829</v>
      </c>
      <c r="H38" s="215"/>
    </row>
    <row r="39" spans="1:8" ht="11.4" customHeight="1" x14ac:dyDescent="0.25">
      <c r="A39" s="83" t="s">
        <v>433</v>
      </c>
      <c r="B39" s="84">
        <v>8</v>
      </c>
      <c r="C39" s="83" t="s">
        <v>455</v>
      </c>
      <c r="D39" s="84">
        <v>8</v>
      </c>
      <c r="E39" s="83" t="s">
        <v>447</v>
      </c>
      <c r="F39" s="84">
        <v>1</v>
      </c>
      <c r="G39" s="83" t="s">
        <v>830</v>
      </c>
      <c r="H39" s="84">
        <v>8</v>
      </c>
    </row>
    <row r="40" spans="1:8" ht="11.4" customHeight="1" x14ac:dyDescent="0.25">
      <c r="A40" s="83" t="s">
        <v>437</v>
      </c>
      <c r="B40" s="84">
        <v>1</v>
      </c>
      <c r="C40" s="83" t="s">
        <v>459</v>
      </c>
      <c r="D40" s="84">
        <v>8</v>
      </c>
      <c r="E40" s="215" t="s">
        <v>449</v>
      </c>
      <c r="F40" s="215"/>
      <c r="G40" s="215" t="s">
        <v>440</v>
      </c>
      <c r="H40" s="215"/>
    </row>
    <row r="41" spans="1:8" ht="11.4" customHeight="1" x14ac:dyDescent="0.25">
      <c r="A41" s="83" t="s">
        <v>441</v>
      </c>
      <c r="B41" s="84">
        <v>1</v>
      </c>
      <c r="C41" s="83" t="s">
        <v>831</v>
      </c>
      <c r="D41" s="84">
        <v>8</v>
      </c>
      <c r="E41" s="83" t="s">
        <v>452</v>
      </c>
      <c r="F41" s="84">
        <v>3</v>
      </c>
      <c r="G41" s="83" t="s">
        <v>444</v>
      </c>
      <c r="H41" s="84">
        <v>8</v>
      </c>
    </row>
    <row r="42" spans="1:8" ht="11.4" customHeight="1" x14ac:dyDescent="0.25">
      <c r="A42" s="83" t="s">
        <v>445</v>
      </c>
      <c r="B42" s="84">
        <v>6</v>
      </c>
      <c r="C42" s="83" t="s">
        <v>462</v>
      </c>
      <c r="D42" s="84">
        <v>6</v>
      </c>
      <c r="E42" s="83" t="s">
        <v>456</v>
      </c>
      <c r="F42" s="84">
        <v>8</v>
      </c>
      <c r="G42" s="83" t="s">
        <v>450</v>
      </c>
      <c r="H42" s="84">
        <v>6</v>
      </c>
    </row>
    <row r="43" spans="1:8" ht="11.4" customHeight="1" x14ac:dyDescent="0.25">
      <c r="A43" s="83" t="s">
        <v>448</v>
      </c>
      <c r="B43" s="84">
        <v>8</v>
      </c>
      <c r="C43" s="83" t="s">
        <v>466</v>
      </c>
      <c r="D43" s="84">
        <v>8</v>
      </c>
      <c r="E43" s="83" t="s">
        <v>463</v>
      </c>
      <c r="F43" s="84">
        <v>8</v>
      </c>
      <c r="G43" s="83" t="s">
        <v>453</v>
      </c>
      <c r="H43" s="84">
        <v>8</v>
      </c>
    </row>
    <row r="44" spans="1:8" ht="11.4" customHeight="1" x14ac:dyDescent="0.25">
      <c r="A44" s="83" t="s">
        <v>451</v>
      </c>
      <c r="B44" s="84">
        <v>8</v>
      </c>
      <c r="C44" s="83" t="s">
        <v>470</v>
      </c>
      <c r="D44" s="84">
        <v>6</v>
      </c>
      <c r="E44" s="83" t="s">
        <v>467</v>
      </c>
      <c r="F44" s="84">
        <v>8</v>
      </c>
      <c r="G44" s="215" t="s">
        <v>457</v>
      </c>
      <c r="H44" s="215"/>
    </row>
    <row r="45" spans="1:8" ht="11.4" customHeight="1" x14ac:dyDescent="0.25">
      <c r="A45" s="83" t="s">
        <v>454</v>
      </c>
      <c r="B45" s="84">
        <v>6</v>
      </c>
      <c r="C45" s="83" t="s">
        <v>832</v>
      </c>
      <c r="D45" s="84">
        <v>8</v>
      </c>
      <c r="E45" s="83" t="s">
        <v>471</v>
      </c>
      <c r="F45" s="84">
        <v>8</v>
      </c>
      <c r="G45" s="83" t="s">
        <v>460</v>
      </c>
      <c r="H45" s="84">
        <v>1</v>
      </c>
    </row>
    <row r="46" spans="1:8" ht="11.4" customHeight="1" x14ac:dyDescent="0.25">
      <c r="A46" s="215" t="s">
        <v>458</v>
      </c>
      <c r="B46" s="215"/>
      <c r="C46" s="83" t="s">
        <v>474</v>
      </c>
      <c r="D46" s="84">
        <v>1</v>
      </c>
      <c r="E46" s="83" t="s">
        <v>475</v>
      </c>
      <c r="F46" s="84">
        <v>8</v>
      </c>
      <c r="G46" s="83" t="s">
        <v>464</v>
      </c>
      <c r="H46" s="84">
        <v>1</v>
      </c>
    </row>
    <row r="47" spans="1:8" ht="11.4" customHeight="1" x14ac:dyDescent="0.25">
      <c r="A47" s="83" t="s">
        <v>461</v>
      </c>
      <c r="B47" s="84">
        <v>8</v>
      </c>
      <c r="C47" s="83" t="s">
        <v>478</v>
      </c>
      <c r="D47" s="84">
        <v>8</v>
      </c>
      <c r="E47" s="83" t="s">
        <v>479</v>
      </c>
      <c r="F47" s="84">
        <v>3</v>
      </c>
      <c r="G47" s="83" t="s">
        <v>468</v>
      </c>
      <c r="H47" s="84">
        <v>4</v>
      </c>
    </row>
    <row r="48" spans="1:8" ht="11.4" customHeight="1" x14ac:dyDescent="0.25">
      <c r="A48" s="83" t="s">
        <v>465</v>
      </c>
      <c r="B48" s="84">
        <v>8</v>
      </c>
      <c r="C48" s="83" t="s">
        <v>482</v>
      </c>
      <c r="D48" s="84">
        <v>8</v>
      </c>
      <c r="E48" s="83" t="s">
        <v>483</v>
      </c>
      <c r="F48" s="84">
        <v>1</v>
      </c>
      <c r="G48" s="215" t="s">
        <v>472</v>
      </c>
      <c r="H48" s="215"/>
    </row>
    <row r="49" spans="1:8" ht="11.4" customHeight="1" x14ac:dyDescent="0.25">
      <c r="A49" s="83" t="s">
        <v>469</v>
      </c>
      <c r="B49" s="84">
        <v>8</v>
      </c>
      <c r="C49" s="215" t="s">
        <v>486</v>
      </c>
      <c r="D49" s="215"/>
      <c r="E49" s="83" t="s">
        <v>487</v>
      </c>
      <c r="F49" s="84">
        <v>6</v>
      </c>
      <c r="G49" s="83" t="s">
        <v>476</v>
      </c>
      <c r="H49" s="84">
        <v>8</v>
      </c>
    </row>
    <row r="50" spans="1:8" ht="11.4" customHeight="1" x14ac:dyDescent="0.25">
      <c r="A50" s="83" t="s">
        <v>473</v>
      </c>
      <c r="B50" s="84">
        <v>8</v>
      </c>
      <c r="C50" s="85" t="s">
        <v>494</v>
      </c>
      <c r="D50" s="84">
        <v>6</v>
      </c>
      <c r="E50" s="215" t="s">
        <v>491</v>
      </c>
      <c r="F50" s="215"/>
      <c r="G50" s="83" t="s">
        <v>480</v>
      </c>
      <c r="H50" s="84">
        <v>6</v>
      </c>
    </row>
    <row r="51" spans="1:8" ht="11.4" customHeight="1" x14ac:dyDescent="0.25">
      <c r="A51" s="83" t="s">
        <v>477</v>
      </c>
      <c r="B51" s="84">
        <v>8</v>
      </c>
      <c r="C51" s="83" t="s">
        <v>490</v>
      </c>
      <c r="D51" s="84">
        <v>6</v>
      </c>
      <c r="E51" s="83" t="s">
        <v>495</v>
      </c>
      <c r="F51" s="84">
        <v>8</v>
      </c>
      <c r="G51" s="83" t="s">
        <v>833</v>
      </c>
      <c r="H51" s="84">
        <v>8</v>
      </c>
    </row>
    <row r="52" spans="1:8" ht="11.4" customHeight="1" x14ac:dyDescent="0.25">
      <c r="A52" s="83" t="s">
        <v>481</v>
      </c>
      <c r="B52" s="84">
        <v>8</v>
      </c>
      <c r="C52" s="83" t="s">
        <v>498</v>
      </c>
      <c r="D52" s="84">
        <v>8</v>
      </c>
      <c r="E52" s="83" t="s">
        <v>499</v>
      </c>
      <c r="F52" s="84">
        <v>8</v>
      </c>
      <c r="G52" s="83" t="s">
        <v>484</v>
      </c>
      <c r="H52" s="84">
        <v>8</v>
      </c>
    </row>
    <row r="53" spans="1:8" ht="11.4" customHeight="1" x14ac:dyDescent="0.25">
      <c r="A53" s="83" t="s">
        <v>485</v>
      </c>
      <c r="B53" s="84">
        <v>8</v>
      </c>
      <c r="C53" s="83" t="s">
        <v>502</v>
      </c>
      <c r="D53" s="84">
        <v>8</v>
      </c>
      <c r="E53" s="83" t="s">
        <v>503</v>
      </c>
      <c r="F53" s="84">
        <v>6</v>
      </c>
      <c r="G53" s="146" t="s">
        <v>488</v>
      </c>
      <c r="H53" s="146"/>
    </row>
    <row r="54" spans="1:8" ht="11.4" customHeight="1" x14ac:dyDescent="0.25">
      <c r="A54" s="83" t="s">
        <v>489</v>
      </c>
      <c r="B54" s="84">
        <v>8</v>
      </c>
      <c r="C54" s="83" t="s">
        <v>305</v>
      </c>
      <c r="D54" s="84">
        <v>3</v>
      </c>
      <c r="E54" s="215" t="s">
        <v>306</v>
      </c>
      <c r="F54" s="215"/>
      <c r="G54" s="83" t="s">
        <v>492</v>
      </c>
      <c r="H54" s="84">
        <v>8</v>
      </c>
    </row>
    <row r="55" spans="1:8" ht="11.4" customHeight="1" x14ac:dyDescent="0.25">
      <c r="A55" s="83" t="s">
        <v>493</v>
      </c>
      <c r="B55" s="84">
        <v>8</v>
      </c>
      <c r="C55" s="85" t="s">
        <v>311</v>
      </c>
      <c r="D55" s="84">
        <v>6</v>
      </c>
      <c r="E55" s="83" t="s">
        <v>684</v>
      </c>
      <c r="F55" s="84">
        <v>1</v>
      </c>
      <c r="G55" s="215" t="s">
        <v>496</v>
      </c>
      <c r="H55" s="215"/>
    </row>
    <row r="56" spans="1:8" ht="11.4" customHeight="1" x14ac:dyDescent="0.25">
      <c r="A56" s="83" t="s">
        <v>497</v>
      </c>
      <c r="B56" s="84">
        <v>1</v>
      </c>
      <c r="C56" s="83" t="s">
        <v>315</v>
      </c>
      <c r="D56" s="84">
        <v>1</v>
      </c>
      <c r="E56" s="83" t="s">
        <v>312</v>
      </c>
      <c r="F56" s="84">
        <v>1</v>
      </c>
      <c r="G56" s="83" t="s">
        <v>500</v>
      </c>
      <c r="H56" s="84">
        <v>8</v>
      </c>
    </row>
    <row r="57" spans="1:8" ht="11.4" customHeight="1" x14ac:dyDescent="0.25">
      <c r="A57" s="83" t="s">
        <v>501</v>
      </c>
      <c r="B57" s="84">
        <v>1</v>
      </c>
      <c r="C57" s="83" t="s">
        <v>319</v>
      </c>
      <c r="D57" s="84">
        <v>1</v>
      </c>
      <c r="E57" s="83" t="s">
        <v>316</v>
      </c>
      <c r="F57" s="84">
        <v>8</v>
      </c>
      <c r="G57" s="83" t="s">
        <v>504</v>
      </c>
      <c r="H57" s="84">
        <v>6</v>
      </c>
    </row>
    <row r="58" spans="1:8" ht="11.4" customHeight="1" x14ac:dyDescent="0.25">
      <c r="C58" s="104"/>
      <c r="D58" s="104"/>
      <c r="E58" s="104"/>
      <c r="F58" s="104"/>
      <c r="G58" s="146"/>
      <c r="H58" s="146"/>
    </row>
    <row r="59" spans="1:8" ht="11.4" customHeight="1" x14ac:dyDescent="0.25">
      <c r="A59" s="214" t="s">
        <v>505</v>
      </c>
      <c r="B59" s="214"/>
      <c r="C59" s="214"/>
      <c r="D59" s="214"/>
      <c r="E59" s="214"/>
      <c r="F59" s="214"/>
      <c r="G59" s="214"/>
      <c r="H59" s="214"/>
    </row>
    <row r="60" spans="1:8" ht="11.4" customHeight="1" x14ac:dyDescent="0.25">
      <c r="A60" s="214" t="s">
        <v>506</v>
      </c>
      <c r="B60" s="214"/>
      <c r="C60" s="214"/>
      <c r="D60" s="214"/>
      <c r="E60" s="214"/>
      <c r="F60" s="214"/>
      <c r="G60" s="214"/>
      <c r="H60" s="214"/>
    </row>
    <row r="61" spans="1:8" x14ac:dyDescent="0.25">
      <c r="F61" s="87"/>
      <c r="G61" s="93"/>
      <c r="H61" s="93"/>
    </row>
    <row r="62" spans="1:8" x14ac:dyDescent="0.25">
      <c r="F62" s="87"/>
      <c r="G62" s="146"/>
      <c r="H62" s="146"/>
    </row>
    <row r="63" spans="1:8" x14ac:dyDescent="0.25">
      <c r="F63" s="87"/>
      <c r="G63" s="87"/>
      <c r="H63" s="87"/>
    </row>
    <row r="64" spans="1:8" x14ac:dyDescent="0.25">
      <c r="G64" s="87"/>
      <c r="H64" s="87"/>
    </row>
    <row r="65" spans="2:8" x14ac:dyDescent="0.25">
      <c r="G65" s="87"/>
      <c r="H65" s="87"/>
    </row>
    <row r="66" spans="2:8" x14ac:dyDescent="0.25">
      <c r="G66" s="87"/>
      <c r="H66" s="87"/>
    </row>
    <row r="67" spans="2:8" x14ac:dyDescent="0.25">
      <c r="G67" s="87"/>
      <c r="H67" s="87"/>
    </row>
    <row r="68" spans="2:8" x14ac:dyDescent="0.25">
      <c r="G68" s="87"/>
      <c r="H68" s="87"/>
    </row>
    <row r="70" spans="2:8" x14ac:dyDescent="0.25">
      <c r="B70" s="87"/>
    </row>
    <row r="78" spans="2:8" x14ac:dyDescent="0.25">
      <c r="D78" s="87"/>
    </row>
  </sheetData>
  <mergeCells count="28">
    <mergeCell ref="A59:H59"/>
    <mergeCell ref="A60:H60"/>
    <mergeCell ref="A46:B46"/>
    <mergeCell ref="G48:H48"/>
    <mergeCell ref="C49:D49"/>
    <mergeCell ref="E54:F54"/>
    <mergeCell ref="G55:H55"/>
    <mergeCell ref="E50:F50"/>
    <mergeCell ref="G44:H44"/>
    <mergeCell ref="A38:B38"/>
    <mergeCell ref="G40:H40"/>
    <mergeCell ref="C17:D17"/>
    <mergeCell ref="A18:B18"/>
    <mergeCell ref="C19:D19"/>
    <mergeCell ref="G25:H25"/>
    <mergeCell ref="E26:F26"/>
    <mergeCell ref="G29:H29"/>
    <mergeCell ref="C29:D29"/>
    <mergeCell ref="G36:H36"/>
    <mergeCell ref="E37:F37"/>
    <mergeCell ref="G38:H38"/>
    <mergeCell ref="E40:F40"/>
    <mergeCell ref="C15:D15"/>
    <mergeCell ref="A1:H1"/>
    <mergeCell ref="A3:B3"/>
    <mergeCell ref="E3:F3"/>
    <mergeCell ref="C10:D10"/>
    <mergeCell ref="G13:H13"/>
  </mergeCells>
  <printOptions horizontalCentered="1" verticalCentered="1"/>
  <pageMargins left="0.59055118110236215" right="0.59055118110236215" top="1.5748031496062993" bottom="0.59055118110236215" header="0" footer="0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3"/>
  <sheetViews>
    <sheetView zoomScale="130" zoomScaleNormal="130" zoomScaleSheetLayoutView="100" workbookViewId="0">
      <selection sqref="A1:I1"/>
    </sheetView>
  </sheetViews>
  <sheetFormatPr defaultColWidth="9.109375" defaultRowHeight="13.2" x14ac:dyDescent="0.25"/>
  <cols>
    <col min="1" max="9" width="10.6640625" style="1" customWidth="1"/>
    <col min="10" max="16384" width="9.109375" style="1"/>
  </cols>
  <sheetData>
    <row r="1" spans="1:9" ht="24.9" customHeight="1" x14ac:dyDescent="0.25">
      <c r="A1" s="174" t="s">
        <v>834</v>
      </c>
      <c r="B1" s="174"/>
      <c r="C1" s="174"/>
      <c r="D1" s="174"/>
      <c r="E1" s="174"/>
      <c r="F1" s="174"/>
      <c r="G1" s="174"/>
      <c r="H1" s="174"/>
      <c r="I1" s="174"/>
    </row>
    <row r="2" spans="1:9" ht="13.8" thickBot="1" x14ac:dyDescent="0.3">
      <c r="A2" s="24"/>
      <c r="B2" s="24"/>
      <c r="C2" s="24"/>
      <c r="D2" s="24"/>
      <c r="F2" s="88"/>
    </row>
    <row r="3" spans="1:9" ht="12.75" customHeight="1" x14ac:dyDescent="0.25">
      <c r="A3" s="196" t="s">
        <v>0</v>
      </c>
      <c r="B3" s="198" t="s">
        <v>31</v>
      </c>
      <c r="C3" s="198"/>
      <c r="D3" s="198"/>
      <c r="E3" s="198"/>
      <c r="F3" s="198"/>
      <c r="G3" s="198"/>
      <c r="H3" s="198"/>
      <c r="I3" s="199"/>
    </row>
    <row r="4" spans="1:9" ht="13.8" thickBot="1" x14ac:dyDescent="0.3">
      <c r="A4" s="197"/>
      <c r="B4" s="34">
        <v>1</v>
      </c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  <c r="I4" s="37">
        <v>8</v>
      </c>
    </row>
    <row r="5" spans="1:9" ht="24.9" customHeight="1" x14ac:dyDescent="0.25">
      <c r="A5" s="234" t="s">
        <v>507</v>
      </c>
      <c r="B5" s="234"/>
      <c r="C5" s="234"/>
      <c r="D5" s="234"/>
      <c r="E5" s="234"/>
      <c r="F5" s="234"/>
      <c r="G5" s="234"/>
      <c r="H5" s="234"/>
      <c r="I5" s="234"/>
    </row>
    <row r="6" spans="1:9" x14ac:dyDescent="0.25">
      <c r="A6" s="25" t="s">
        <v>1</v>
      </c>
      <c r="B6" s="43">
        <v>20150</v>
      </c>
      <c r="C6" s="43">
        <v>27500</v>
      </c>
      <c r="D6" s="43">
        <v>27500</v>
      </c>
      <c r="E6" s="43">
        <v>30749.999999999996</v>
      </c>
      <c r="F6" s="43">
        <v>19800</v>
      </c>
      <c r="G6" s="43">
        <v>32500</v>
      </c>
      <c r="H6" s="43">
        <v>34050</v>
      </c>
      <c r="I6" s="43">
        <v>47870</v>
      </c>
    </row>
    <row r="7" spans="1:9" x14ac:dyDescent="0.25">
      <c r="A7" s="89" t="s">
        <v>2</v>
      </c>
      <c r="B7" s="90">
        <v>25515</v>
      </c>
      <c r="C7" s="90">
        <v>30780</v>
      </c>
      <c r="D7" s="90">
        <v>30780</v>
      </c>
      <c r="E7" s="90">
        <v>35950</v>
      </c>
      <c r="F7" s="90">
        <v>22700</v>
      </c>
      <c r="G7" s="90">
        <v>39100</v>
      </c>
      <c r="H7" s="90">
        <v>39100</v>
      </c>
      <c r="I7" s="90">
        <v>56420</v>
      </c>
    </row>
    <row r="8" spans="1:9" ht="12.75" customHeight="1" x14ac:dyDescent="0.25">
      <c r="A8" s="6" t="s">
        <v>3</v>
      </c>
      <c r="B8" s="44">
        <v>29835</v>
      </c>
      <c r="C8" s="44">
        <v>33505</v>
      </c>
      <c r="D8" s="44">
        <v>33505</v>
      </c>
      <c r="E8" s="44">
        <v>45370</v>
      </c>
      <c r="F8" s="44">
        <v>26500</v>
      </c>
      <c r="G8" s="44">
        <v>49560</v>
      </c>
      <c r="H8" s="44">
        <v>53050</v>
      </c>
      <c r="I8" s="44">
        <v>63520</v>
      </c>
    </row>
    <row r="9" spans="1:9" x14ac:dyDescent="0.25">
      <c r="A9" s="89" t="s">
        <v>4</v>
      </c>
      <c r="B9" s="90">
        <v>34290</v>
      </c>
      <c r="C9" s="90">
        <v>36240</v>
      </c>
      <c r="D9" s="90">
        <v>36240</v>
      </c>
      <c r="E9" s="90">
        <v>50700</v>
      </c>
      <c r="F9" s="90">
        <v>29800</v>
      </c>
      <c r="G9" s="90">
        <v>56370</v>
      </c>
      <c r="H9" s="90">
        <v>60370</v>
      </c>
      <c r="I9" s="90">
        <v>70980</v>
      </c>
    </row>
    <row r="10" spans="1:9" ht="12.75" customHeight="1" x14ac:dyDescent="0.25">
      <c r="A10" s="212" t="s">
        <v>508</v>
      </c>
      <c r="B10" s="212"/>
      <c r="C10" s="212"/>
      <c r="D10" s="212"/>
      <c r="E10" s="212"/>
      <c r="F10" s="212"/>
      <c r="G10" s="212"/>
      <c r="H10" s="212"/>
      <c r="I10" s="212"/>
    </row>
    <row r="11" spans="1:9" ht="24.9" customHeight="1" x14ac:dyDescent="0.25">
      <c r="A11" s="234" t="s">
        <v>509</v>
      </c>
      <c r="B11" s="234"/>
      <c r="C11" s="234"/>
      <c r="D11" s="234"/>
      <c r="E11" s="234"/>
      <c r="F11" s="234"/>
      <c r="G11" s="234"/>
      <c r="H11" s="234"/>
      <c r="I11" s="234"/>
    </row>
    <row r="12" spans="1:9" x14ac:dyDescent="0.25">
      <c r="A12" s="25" t="s">
        <v>1</v>
      </c>
      <c r="B12" s="43">
        <v>30800</v>
      </c>
      <c r="C12" s="43">
        <v>29500</v>
      </c>
      <c r="D12" s="43">
        <v>33750</v>
      </c>
      <c r="E12" s="43">
        <v>35500</v>
      </c>
      <c r="F12" s="43">
        <v>19800</v>
      </c>
      <c r="G12" s="43">
        <v>35500</v>
      </c>
      <c r="H12" s="43">
        <v>36500</v>
      </c>
      <c r="I12" s="43">
        <v>49899.999999999993</v>
      </c>
    </row>
    <row r="13" spans="1:9" x14ac:dyDescent="0.25">
      <c r="A13" s="89" t="s">
        <v>2</v>
      </c>
      <c r="B13" s="90">
        <v>31800</v>
      </c>
      <c r="C13" s="90">
        <v>31000</v>
      </c>
      <c r="D13" s="90">
        <v>36100</v>
      </c>
      <c r="E13" s="90">
        <v>37100</v>
      </c>
      <c r="F13" s="90">
        <v>22700</v>
      </c>
      <c r="G13" s="90">
        <v>38100</v>
      </c>
      <c r="H13" s="90">
        <v>39100</v>
      </c>
      <c r="I13" s="90">
        <v>55189.999999999993</v>
      </c>
    </row>
    <row r="14" spans="1:9" x14ac:dyDescent="0.25">
      <c r="A14" s="6" t="s">
        <v>3</v>
      </c>
      <c r="B14" s="44">
        <v>34800</v>
      </c>
      <c r="C14" s="44">
        <v>37000</v>
      </c>
      <c r="D14" s="44">
        <v>41300</v>
      </c>
      <c r="E14" s="44">
        <v>46299.999999999993</v>
      </c>
      <c r="F14" s="44">
        <v>26500</v>
      </c>
      <c r="G14" s="44">
        <v>46299.999999999993</v>
      </c>
      <c r="H14" s="44">
        <v>46900</v>
      </c>
      <c r="I14" s="44">
        <v>70980</v>
      </c>
    </row>
    <row r="15" spans="1:9" ht="12.75" customHeight="1" x14ac:dyDescent="0.25">
      <c r="A15" s="89" t="s">
        <v>4</v>
      </c>
      <c r="B15" s="90">
        <v>36800</v>
      </c>
      <c r="C15" s="90">
        <v>43100</v>
      </c>
      <c r="D15" s="90">
        <v>51150</v>
      </c>
      <c r="E15" s="90">
        <v>52390</v>
      </c>
      <c r="F15" s="90">
        <v>29800</v>
      </c>
      <c r="G15" s="90">
        <v>52390</v>
      </c>
      <c r="H15" s="90">
        <v>56390</v>
      </c>
      <c r="I15" s="90">
        <v>78450</v>
      </c>
    </row>
    <row r="16" spans="1:9" x14ac:dyDescent="0.25">
      <c r="A16" s="6" t="s">
        <v>5</v>
      </c>
      <c r="B16" s="44">
        <v>39800</v>
      </c>
      <c r="C16" s="44">
        <v>47300</v>
      </c>
      <c r="D16" s="44">
        <v>56730</v>
      </c>
      <c r="E16" s="44">
        <v>58130</v>
      </c>
      <c r="F16" s="44">
        <v>36500</v>
      </c>
      <c r="G16" s="44">
        <v>58130</v>
      </c>
      <c r="H16" s="44">
        <v>64390</v>
      </c>
      <c r="I16" s="44">
        <v>92710</v>
      </c>
    </row>
    <row r="17" spans="1:9" x14ac:dyDescent="0.25">
      <c r="A17" s="89" t="s">
        <v>6</v>
      </c>
      <c r="B17" s="90">
        <v>54000</v>
      </c>
      <c r="C17" s="90">
        <v>72000</v>
      </c>
      <c r="D17" s="90">
        <v>61380</v>
      </c>
      <c r="E17" s="90">
        <v>62000</v>
      </c>
      <c r="F17" s="90">
        <v>40000</v>
      </c>
      <c r="G17" s="90">
        <v>87120</v>
      </c>
      <c r="H17" s="90">
        <v>87120</v>
      </c>
      <c r="I17" s="90">
        <v>107940</v>
      </c>
    </row>
    <row r="18" spans="1:9" x14ac:dyDescent="0.25">
      <c r="A18" s="6" t="s">
        <v>7</v>
      </c>
      <c r="B18" s="44">
        <v>58500</v>
      </c>
      <c r="C18" s="44">
        <v>77140</v>
      </c>
      <c r="D18" s="44">
        <v>65720</v>
      </c>
      <c r="E18" s="44">
        <v>68670</v>
      </c>
      <c r="F18" s="44">
        <v>44300</v>
      </c>
      <c r="G18" s="44">
        <v>93280.000000000015</v>
      </c>
      <c r="H18" s="44">
        <v>93280.000000000015</v>
      </c>
      <c r="I18" s="44">
        <v>123420</v>
      </c>
    </row>
    <row r="19" spans="1:9" x14ac:dyDescent="0.25">
      <c r="A19" s="89" t="s">
        <v>8</v>
      </c>
      <c r="B19" s="90">
        <v>63000</v>
      </c>
      <c r="C19" s="90">
        <v>82320</v>
      </c>
      <c r="D19" s="90">
        <v>70370</v>
      </c>
      <c r="E19" s="90">
        <v>74089.999999999985</v>
      </c>
      <c r="F19" s="90">
        <v>47799.999999999993</v>
      </c>
      <c r="G19" s="90">
        <v>99880.000000000015</v>
      </c>
      <c r="H19" s="90">
        <v>99880.000000000015</v>
      </c>
      <c r="I19" s="90">
        <v>139940</v>
      </c>
    </row>
    <row r="20" spans="1:9" x14ac:dyDescent="0.25">
      <c r="A20" s="6" t="s">
        <v>9</v>
      </c>
      <c r="B20" s="44">
        <v>67500</v>
      </c>
      <c r="C20" s="44">
        <v>87220</v>
      </c>
      <c r="D20" s="44">
        <v>75020</v>
      </c>
      <c r="E20" s="44">
        <v>78279.999999999985</v>
      </c>
      <c r="F20" s="44">
        <v>50499.999999999993</v>
      </c>
      <c r="G20" s="44">
        <v>106480.00000000001</v>
      </c>
      <c r="H20" s="44">
        <v>106480.00000000001</v>
      </c>
      <c r="I20" s="44">
        <v>148270</v>
      </c>
    </row>
    <row r="21" spans="1:9" x14ac:dyDescent="0.25">
      <c r="A21" s="89" t="s">
        <v>10</v>
      </c>
      <c r="B21" s="90">
        <v>72000</v>
      </c>
      <c r="C21" s="90">
        <v>91700</v>
      </c>
      <c r="D21" s="90">
        <v>79050</v>
      </c>
      <c r="E21" s="90">
        <v>82929.999999999985</v>
      </c>
      <c r="F21" s="90">
        <v>53499.999999999993</v>
      </c>
      <c r="G21" s="90">
        <v>112200.00000000001</v>
      </c>
      <c r="H21" s="90">
        <v>112200.00000000001</v>
      </c>
      <c r="I21" s="90">
        <v>155890</v>
      </c>
    </row>
    <row r="22" spans="1:9" x14ac:dyDescent="0.25">
      <c r="A22" s="26" t="s">
        <v>510</v>
      </c>
      <c r="B22" s="45">
        <v>11000</v>
      </c>
      <c r="C22" s="45">
        <v>17500</v>
      </c>
      <c r="D22" s="45">
        <v>17500</v>
      </c>
      <c r="E22" s="45">
        <v>19370</v>
      </c>
      <c r="F22" s="45">
        <v>12500</v>
      </c>
      <c r="G22" s="45">
        <v>19370</v>
      </c>
      <c r="H22" s="45">
        <v>19370</v>
      </c>
      <c r="I22" s="45">
        <v>28500</v>
      </c>
    </row>
    <row r="23" spans="1:9" x14ac:dyDescent="0.25">
      <c r="C23" s="24"/>
      <c r="D23" s="24"/>
      <c r="E23" s="24"/>
      <c r="F23" s="24"/>
      <c r="G23" s="24"/>
      <c r="H23" s="24"/>
    </row>
    <row r="24" spans="1:9" ht="24.9" customHeight="1" x14ac:dyDescent="0.25">
      <c r="A24" s="173" t="s">
        <v>169</v>
      </c>
      <c r="B24" s="173"/>
      <c r="C24" s="173"/>
      <c r="D24" s="173"/>
      <c r="E24" s="173"/>
      <c r="F24" s="173"/>
      <c r="G24" s="173"/>
      <c r="H24" s="173"/>
      <c r="I24" s="173"/>
    </row>
    <row r="25" spans="1:9" ht="24.9" customHeight="1" x14ac:dyDescent="0.25">
      <c r="A25" s="173" t="s">
        <v>511</v>
      </c>
      <c r="B25" s="173"/>
      <c r="C25" s="173"/>
      <c r="D25" s="173"/>
      <c r="E25" s="173"/>
      <c r="F25" s="173"/>
      <c r="G25" s="173"/>
      <c r="H25" s="173"/>
      <c r="I25" s="173"/>
    </row>
    <row r="26" spans="1:9" ht="12.75" customHeight="1" x14ac:dyDescent="0.25">
      <c r="A26" s="173" t="s">
        <v>512</v>
      </c>
      <c r="B26" s="173"/>
      <c r="C26" s="173"/>
      <c r="D26" s="173"/>
      <c r="E26" s="173"/>
      <c r="F26" s="173"/>
      <c r="G26" s="173"/>
      <c r="H26" s="173"/>
      <c r="I26" s="173"/>
    </row>
    <row r="27" spans="1:9" ht="24.9" customHeight="1" x14ac:dyDescent="0.25">
      <c r="A27" s="173" t="s">
        <v>513</v>
      </c>
      <c r="B27" s="173"/>
      <c r="C27" s="173"/>
      <c r="D27" s="173"/>
      <c r="E27" s="173"/>
      <c r="F27" s="173"/>
      <c r="G27" s="173"/>
      <c r="H27" s="173"/>
      <c r="I27" s="173"/>
    </row>
    <row r="28" spans="1:9" ht="39.9" customHeight="1" x14ac:dyDescent="0.25">
      <c r="A28" s="173" t="s">
        <v>188</v>
      </c>
      <c r="B28" s="173"/>
      <c r="C28" s="173"/>
      <c r="D28" s="173"/>
      <c r="E28" s="173"/>
      <c r="F28" s="173"/>
      <c r="G28" s="173"/>
      <c r="H28" s="173"/>
      <c r="I28" s="173"/>
    </row>
    <row r="29" spans="1:9" x14ac:dyDescent="0.25">
      <c r="B29" s="147"/>
      <c r="C29" s="147"/>
      <c r="D29" s="147"/>
      <c r="E29" s="147"/>
      <c r="F29" s="147"/>
      <c r="G29" s="147"/>
      <c r="H29" s="147"/>
      <c r="I29" s="147"/>
    </row>
    <row r="30" spans="1:9" x14ac:dyDescent="0.25">
      <c r="B30" s="147"/>
      <c r="C30" s="147"/>
      <c r="D30" s="147"/>
      <c r="E30" s="147"/>
      <c r="F30" s="147"/>
      <c r="G30" s="147"/>
      <c r="H30" s="147"/>
      <c r="I30" s="147"/>
    </row>
    <row r="31" spans="1:9" x14ac:dyDescent="0.25">
      <c r="B31" s="147"/>
      <c r="C31" s="147"/>
      <c r="D31" s="147"/>
      <c r="E31" s="147"/>
      <c r="F31" s="147"/>
      <c r="G31" s="147"/>
      <c r="H31" s="147"/>
      <c r="I31" s="147"/>
    </row>
    <row r="32" spans="1:9" x14ac:dyDescent="0.25">
      <c r="B32" s="147"/>
      <c r="C32" s="147"/>
      <c r="D32" s="147"/>
      <c r="E32" s="147"/>
      <c r="F32" s="147"/>
      <c r="G32" s="147"/>
      <c r="H32" s="147"/>
      <c r="I32" s="147"/>
    </row>
    <row r="33" spans="2:2" x14ac:dyDescent="0.25">
      <c r="B33" s="147"/>
    </row>
  </sheetData>
  <mergeCells count="11">
    <mergeCell ref="A24:I24"/>
    <mergeCell ref="A25:I25"/>
    <mergeCell ref="A26:I26"/>
    <mergeCell ref="A27:I27"/>
    <mergeCell ref="A28:I28"/>
    <mergeCell ref="A11:I11"/>
    <mergeCell ref="A1:I1"/>
    <mergeCell ref="A3:A4"/>
    <mergeCell ref="B3:I3"/>
    <mergeCell ref="A5:I5"/>
    <mergeCell ref="A10:I10"/>
  </mergeCells>
  <printOptions horizontalCentered="1" verticalCentered="1"/>
  <pageMargins left="0.39370078740157483" right="0.39370078740157483" top="1.3779527559055118" bottom="0.39370078740157483" header="0.51181102362204722" footer="0.51181102362204722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8"/>
  <sheetViews>
    <sheetView zoomScale="130" zoomScaleNormal="130" zoomScaleSheetLayoutView="100" workbookViewId="0">
      <selection sqref="A1:I1"/>
    </sheetView>
  </sheetViews>
  <sheetFormatPr defaultColWidth="9.109375" defaultRowHeight="13.2" x14ac:dyDescent="0.25"/>
  <cols>
    <col min="1" max="9" width="10.6640625" style="1" customWidth="1"/>
    <col min="10" max="16384" width="9.109375" style="1"/>
  </cols>
  <sheetData>
    <row r="1" spans="1:9" ht="24.9" customHeight="1" x14ac:dyDescent="0.25">
      <c r="A1" s="174" t="s">
        <v>514</v>
      </c>
      <c r="B1" s="174"/>
      <c r="C1" s="174"/>
      <c r="D1" s="174"/>
      <c r="E1" s="174"/>
      <c r="F1" s="174"/>
      <c r="G1" s="174"/>
      <c r="H1" s="174"/>
      <c r="I1" s="174"/>
    </row>
    <row r="2" spans="1:9" ht="13.8" thickBo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9" ht="12.75" customHeight="1" x14ac:dyDescent="0.25">
      <c r="A3" s="196" t="s">
        <v>0</v>
      </c>
      <c r="B3" s="198" t="s">
        <v>31</v>
      </c>
      <c r="C3" s="198"/>
      <c r="D3" s="198"/>
      <c r="E3" s="198"/>
      <c r="F3" s="198"/>
      <c r="G3" s="198"/>
      <c r="H3" s="198"/>
      <c r="I3" s="199"/>
    </row>
    <row r="4" spans="1:9" ht="13.8" thickBot="1" x14ac:dyDescent="0.3">
      <c r="A4" s="197"/>
      <c r="B4" s="34">
        <v>1</v>
      </c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  <c r="I4" s="37">
        <v>8</v>
      </c>
    </row>
    <row r="5" spans="1:9" ht="24.9" customHeight="1" x14ac:dyDescent="0.25">
      <c r="A5" s="235" t="s">
        <v>507</v>
      </c>
      <c r="B5" s="235"/>
      <c r="C5" s="235"/>
      <c r="D5" s="235"/>
      <c r="E5" s="235"/>
      <c r="F5" s="235"/>
      <c r="G5" s="235"/>
      <c r="H5" s="235"/>
      <c r="I5" s="235"/>
    </row>
    <row r="6" spans="1:9" x14ac:dyDescent="0.25">
      <c r="A6" s="6" t="s">
        <v>1</v>
      </c>
      <c r="B6" s="44">
        <v>25187.5</v>
      </c>
      <c r="C6" s="44">
        <v>34375</v>
      </c>
      <c r="D6" s="44">
        <v>34375</v>
      </c>
      <c r="E6" s="44">
        <v>38437.499999999993</v>
      </c>
      <c r="F6" s="44">
        <v>24750</v>
      </c>
      <c r="G6" s="44">
        <v>40625</v>
      </c>
      <c r="H6" s="44">
        <v>42562.5</v>
      </c>
      <c r="I6" s="44">
        <v>59837.5</v>
      </c>
    </row>
    <row r="7" spans="1:9" x14ac:dyDescent="0.25">
      <c r="A7" s="89" t="s">
        <v>2</v>
      </c>
      <c r="B7" s="90">
        <v>31893.75</v>
      </c>
      <c r="C7" s="90">
        <v>38475</v>
      </c>
      <c r="D7" s="90">
        <v>38475</v>
      </c>
      <c r="E7" s="90">
        <v>44937.5</v>
      </c>
      <c r="F7" s="90">
        <v>28375</v>
      </c>
      <c r="G7" s="90">
        <v>48875</v>
      </c>
      <c r="H7" s="90">
        <v>48875</v>
      </c>
      <c r="I7" s="90">
        <v>70525</v>
      </c>
    </row>
    <row r="8" spans="1:9" ht="12.75" customHeight="1" x14ac:dyDescent="0.25">
      <c r="A8" s="6" t="s">
        <v>3</v>
      </c>
      <c r="B8" s="44">
        <v>37293.75</v>
      </c>
      <c r="C8" s="44">
        <v>41881.25</v>
      </c>
      <c r="D8" s="44">
        <v>41881.25</v>
      </c>
      <c r="E8" s="44">
        <v>56712.5</v>
      </c>
      <c r="F8" s="44">
        <v>33125</v>
      </c>
      <c r="G8" s="44">
        <v>61950</v>
      </c>
      <c r="H8" s="44">
        <v>66312.5</v>
      </c>
      <c r="I8" s="44">
        <v>79400</v>
      </c>
    </row>
    <row r="9" spans="1:9" x14ac:dyDescent="0.25">
      <c r="A9" s="89" t="s">
        <v>4</v>
      </c>
      <c r="B9" s="90">
        <v>42862.5</v>
      </c>
      <c r="C9" s="90">
        <v>45300</v>
      </c>
      <c r="D9" s="90">
        <v>45300</v>
      </c>
      <c r="E9" s="90">
        <v>63375</v>
      </c>
      <c r="F9" s="90">
        <v>37250</v>
      </c>
      <c r="G9" s="90">
        <v>70462.5</v>
      </c>
      <c r="H9" s="90">
        <v>75462.5</v>
      </c>
      <c r="I9" s="90">
        <v>88725</v>
      </c>
    </row>
    <row r="10" spans="1:9" ht="12.75" customHeight="1" x14ac:dyDescent="0.25">
      <c r="A10" s="173" t="s">
        <v>508</v>
      </c>
      <c r="B10" s="173"/>
      <c r="C10" s="173"/>
      <c r="D10" s="173"/>
      <c r="E10" s="173"/>
      <c r="F10" s="173"/>
      <c r="G10" s="173"/>
      <c r="H10" s="173"/>
      <c r="I10" s="173"/>
    </row>
    <row r="11" spans="1:9" ht="24.9" customHeight="1" x14ac:dyDescent="0.25">
      <c r="A11" s="178" t="s">
        <v>509</v>
      </c>
      <c r="B11" s="178"/>
      <c r="C11" s="178"/>
      <c r="D11" s="178"/>
      <c r="E11" s="178"/>
      <c r="F11" s="178"/>
      <c r="G11" s="178"/>
      <c r="H11" s="178"/>
      <c r="I11" s="178"/>
    </row>
    <row r="12" spans="1:9" x14ac:dyDescent="0.25">
      <c r="A12" s="6" t="s">
        <v>1</v>
      </c>
      <c r="B12" s="43">
        <v>38500</v>
      </c>
      <c r="C12" s="43">
        <v>36875</v>
      </c>
      <c r="D12" s="43">
        <v>42187.5</v>
      </c>
      <c r="E12" s="43">
        <v>44375</v>
      </c>
      <c r="F12" s="43">
        <v>24750</v>
      </c>
      <c r="G12" s="43">
        <v>44375</v>
      </c>
      <c r="H12" s="43">
        <v>45625</v>
      </c>
      <c r="I12" s="43">
        <v>62374.999999999993</v>
      </c>
    </row>
    <row r="13" spans="1:9" x14ac:dyDescent="0.25">
      <c r="A13" s="89" t="s">
        <v>2</v>
      </c>
      <c r="B13" s="90">
        <v>39750</v>
      </c>
      <c r="C13" s="90">
        <v>38750</v>
      </c>
      <c r="D13" s="90">
        <v>45125</v>
      </c>
      <c r="E13" s="90">
        <v>46375</v>
      </c>
      <c r="F13" s="90">
        <v>28375</v>
      </c>
      <c r="G13" s="90">
        <v>47625</v>
      </c>
      <c r="H13" s="90">
        <v>48875</v>
      </c>
      <c r="I13" s="90">
        <v>68987.499999999985</v>
      </c>
    </row>
    <row r="14" spans="1:9" x14ac:dyDescent="0.25">
      <c r="A14" s="6" t="s">
        <v>3</v>
      </c>
      <c r="B14" s="44">
        <v>43500</v>
      </c>
      <c r="C14" s="44">
        <v>46250</v>
      </c>
      <c r="D14" s="44">
        <v>51625</v>
      </c>
      <c r="E14" s="44">
        <v>57874.999999999993</v>
      </c>
      <c r="F14" s="44">
        <v>33125</v>
      </c>
      <c r="G14" s="44">
        <v>57874.999999999993</v>
      </c>
      <c r="H14" s="44">
        <v>58625</v>
      </c>
      <c r="I14" s="44">
        <v>88725</v>
      </c>
    </row>
    <row r="15" spans="1:9" ht="12.75" customHeight="1" x14ac:dyDescent="0.25">
      <c r="A15" s="89" t="s">
        <v>4</v>
      </c>
      <c r="B15" s="90">
        <v>46000</v>
      </c>
      <c r="C15" s="90">
        <v>53875</v>
      </c>
      <c r="D15" s="90">
        <v>63937.5</v>
      </c>
      <c r="E15" s="90">
        <v>65487.5</v>
      </c>
      <c r="F15" s="90">
        <v>37250</v>
      </c>
      <c r="G15" s="90">
        <v>65487.5</v>
      </c>
      <c r="H15" s="90">
        <v>70487.5</v>
      </c>
      <c r="I15" s="90">
        <v>98062.5</v>
      </c>
    </row>
    <row r="16" spans="1:9" x14ac:dyDescent="0.25">
      <c r="A16" s="6" t="s">
        <v>5</v>
      </c>
      <c r="B16" s="44">
        <v>49750</v>
      </c>
      <c r="C16" s="44">
        <v>59125</v>
      </c>
      <c r="D16" s="44">
        <v>70912.5</v>
      </c>
      <c r="E16" s="44">
        <v>72662.5</v>
      </c>
      <c r="F16" s="44">
        <v>45625</v>
      </c>
      <c r="G16" s="44">
        <v>72662.5</v>
      </c>
      <c r="H16" s="44">
        <v>80487.5</v>
      </c>
      <c r="I16" s="44">
        <v>115887.5</v>
      </c>
    </row>
    <row r="17" spans="1:9" x14ac:dyDescent="0.25">
      <c r="A17" s="89" t="s">
        <v>6</v>
      </c>
      <c r="B17" s="90">
        <v>67500</v>
      </c>
      <c r="C17" s="90">
        <v>90000</v>
      </c>
      <c r="D17" s="90">
        <v>76725</v>
      </c>
      <c r="E17" s="90">
        <v>77500</v>
      </c>
      <c r="F17" s="90">
        <v>50000</v>
      </c>
      <c r="G17" s="90">
        <v>108900</v>
      </c>
      <c r="H17" s="90">
        <v>108900</v>
      </c>
      <c r="I17" s="90">
        <v>134925</v>
      </c>
    </row>
    <row r="18" spans="1:9" x14ac:dyDescent="0.25">
      <c r="A18" s="6" t="s">
        <v>7</v>
      </c>
      <c r="B18" s="44">
        <v>73125</v>
      </c>
      <c r="C18" s="44">
        <v>96425</v>
      </c>
      <c r="D18" s="44">
        <v>82150</v>
      </c>
      <c r="E18" s="44">
        <v>85837.5</v>
      </c>
      <c r="F18" s="44">
        <v>55375</v>
      </c>
      <c r="G18" s="44">
        <v>116600.00000000001</v>
      </c>
      <c r="H18" s="44">
        <v>116600.00000000001</v>
      </c>
      <c r="I18" s="44">
        <v>154275</v>
      </c>
    </row>
    <row r="19" spans="1:9" x14ac:dyDescent="0.25">
      <c r="A19" s="89" t="s">
        <v>8</v>
      </c>
      <c r="B19" s="90">
        <v>78750</v>
      </c>
      <c r="C19" s="90">
        <v>102900</v>
      </c>
      <c r="D19" s="90">
        <v>87962.5</v>
      </c>
      <c r="E19" s="90">
        <v>92612.499999999985</v>
      </c>
      <c r="F19" s="90">
        <v>59749.999999999993</v>
      </c>
      <c r="G19" s="90">
        <v>124850.00000000001</v>
      </c>
      <c r="H19" s="90">
        <v>124850.00000000001</v>
      </c>
      <c r="I19" s="90">
        <v>174925</v>
      </c>
    </row>
    <row r="20" spans="1:9" x14ac:dyDescent="0.25">
      <c r="A20" s="6" t="s">
        <v>9</v>
      </c>
      <c r="B20" s="44">
        <v>84375</v>
      </c>
      <c r="C20" s="44">
        <v>109025</v>
      </c>
      <c r="D20" s="44">
        <v>93775</v>
      </c>
      <c r="E20" s="44">
        <v>97849.999999999985</v>
      </c>
      <c r="F20" s="44">
        <v>63124.999999999993</v>
      </c>
      <c r="G20" s="44">
        <v>133100.00000000003</v>
      </c>
      <c r="H20" s="44">
        <v>133100.00000000003</v>
      </c>
      <c r="I20" s="44">
        <v>185337.5</v>
      </c>
    </row>
    <row r="21" spans="1:9" x14ac:dyDescent="0.25">
      <c r="A21" s="89" t="s">
        <v>10</v>
      </c>
      <c r="B21" s="90">
        <v>90000</v>
      </c>
      <c r="C21" s="90">
        <v>114625</v>
      </c>
      <c r="D21" s="90">
        <v>98812.5</v>
      </c>
      <c r="E21" s="90">
        <v>103662.49999999999</v>
      </c>
      <c r="F21" s="90">
        <v>66874.999999999985</v>
      </c>
      <c r="G21" s="90">
        <v>140250.00000000003</v>
      </c>
      <c r="H21" s="90">
        <v>140250.00000000003</v>
      </c>
      <c r="I21" s="90">
        <v>194862.5</v>
      </c>
    </row>
    <row r="22" spans="1:9" x14ac:dyDescent="0.25">
      <c r="A22" s="26" t="s">
        <v>510</v>
      </c>
      <c r="B22" s="45">
        <v>13750</v>
      </c>
      <c r="C22" s="45">
        <v>21875</v>
      </c>
      <c r="D22" s="45">
        <v>21875</v>
      </c>
      <c r="E22" s="45">
        <v>24212.5</v>
      </c>
      <c r="F22" s="45">
        <v>15625</v>
      </c>
      <c r="G22" s="45">
        <v>24212.5</v>
      </c>
      <c r="H22" s="45">
        <v>24212.5</v>
      </c>
      <c r="I22" s="45">
        <v>35625</v>
      </c>
    </row>
    <row r="24" spans="1:9" ht="24.9" customHeight="1" x14ac:dyDescent="0.25">
      <c r="A24" s="173" t="s">
        <v>169</v>
      </c>
      <c r="B24" s="173"/>
      <c r="C24" s="173"/>
      <c r="D24" s="173"/>
      <c r="E24" s="173"/>
      <c r="F24" s="173"/>
      <c r="G24" s="173"/>
      <c r="H24" s="173"/>
      <c r="I24" s="173"/>
    </row>
    <row r="25" spans="1:9" ht="24.9" customHeight="1" x14ac:dyDescent="0.25">
      <c r="A25" s="173" t="s">
        <v>511</v>
      </c>
      <c r="B25" s="173"/>
      <c r="C25" s="173"/>
      <c r="D25" s="173"/>
      <c r="E25" s="173"/>
      <c r="F25" s="173"/>
      <c r="G25" s="173"/>
      <c r="H25" s="173"/>
      <c r="I25" s="173"/>
    </row>
    <row r="26" spans="1:9" ht="12.75" customHeight="1" x14ac:dyDescent="0.25">
      <c r="A26" s="173" t="s">
        <v>512</v>
      </c>
      <c r="B26" s="173"/>
      <c r="C26" s="173"/>
      <c r="D26" s="173"/>
      <c r="E26" s="173"/>
      <c r="F26" s="173"/>
      <c r="G26" s="173"/>
      <c r="H26" s="173"/>
      <c r="I26" s="173"/>
    </row>
    <row r="27" spans="1:9" ht="24.9" customHeight="1" x14ac:dyDescent="0.25">
      <c r="A27" s="173" t="s">
        <v>513</v>
      </c>
      <c r="B27" s="173"/>
      <c r="C27" s="173"/>
      <c r="D27" s="173"/>
      <c r="E27" s="173"/>
      <c r="F27" s="173"/>
      <c r="G27" s="173"/>
      <c r="H27" s="173"/>
      <c r="I27" s="173"/>
    </row>
    <row r="28" spans="1:9" ht="39.9" customHeight="1" x14ac:dyDescent="0.25">
      <c r="A28" s="173" t="s">
        <v>188</v>
      </c>
      <c r="B28" s="173"/>
      <c r="C28" s="173"/>
      <c r="D28" s="173"/>
      <c r="E28" s="173"/>
      <c r="F28" s="173"/>
      <c r="G28" s="173"/>
      <c r="H28" s="173"/>
      <c r="I28" s="173"/>
    </row>
  </sheetData>
  <mergeCells count="11">
    <mergeCell ref="A24:I24"/>
    <mergeCell ref="A25:I25"/>
    <mergeCell ref="A26:I26"/>
    <mergeCell ref="A27:I27"/>
    <mergeCell ref="A28:I28"/>
    <mergeCell ref="A11:I11"/>
    <mergeCell ref="A1:I1"/>
    <mergeCell ref="A3:A4"/>
    <mergeCell ref="B3:I3"/>
    <mergeCell ref="A5:I5"/>
    <mergeCell ref="A10:I10"/>
  </mergeCells>
  <printOptions horizontalCentered="1" verticalCentered="1"/>
  <pageMargins left="0.39370078740157483" right="0.39370078740157483" top="1.3779527559055118" bottom="0.39370078740157483" header="0.51181102362204722" footer="0.51181102362204722"/>
  <pageSetup paperSize="9" scale="94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5"/>
  <sheetViews>
    <sheetView zoomScale="120" zoomScaleNormal="120" zoomScaleSheetLayoutView="85" workbookViewId="0">
      <pane ySplit="5" topLeftCell="A6" activePane="bottomLeft" state="frozen"/>
      <selection activeCell="H39" sqref="H39"/>
      <selection pane="bottomLeft" sqref="A1:C1"/>
    </sheetView>
  </sheetViews>
  <sheetFormatPr defaultColWidth="9.109375" defaultRowHeight="13.2" x14ac:dyDescent="0.25"/>
  <cols>
    <col min="1" max="3" width="30.6640625" style="144" customWidth="1"/>
    <col min="4" max="16384" width="9.109375" style="144"/>
  </cols>
  <sheetData>
    <row r="1" spans="1:3" ht="24.9" customHeight="1" x14ac:dyDescent="0.25">
      <c r="A1" s="236" t="s">
        <v>735</v>
      </c>
      <c r="B1" s="236"/>
      <c r="C1" s="236"/>
    </row>
    <row r="2" spans="1:3" ht="12.75" customHeight="1" x14ac:dyDescent="0.25">
      <c r="A2" s="145"/>
      <c r="B2" s="145"/>
      <c r="C2" s="145"/>
    </row>
    <row r="3" spans="1:3" ht="12.75" customHeight="1" thickBot="1" x14ac:dyDescent="0.3">
      <c r="A3" s="234" t="s">
        <v>231</v>
      </c>
      <c r="B3" s="234"/>
      <c r="C3" s="234"/>
    </row>
    <row r="4" spans="1:3" ht="12.75" customHeight="1" x14ac:dyDescent="0.25">
      <c r="A4" s="175" t="s">
        <v>689</v>
      </c>
      <c r="B4" s="238" t="s">
        <v>31</v>
      </c>
      <c r="C4" s="239"/>
    </row>
    <row r="5" spans="1:3" ht="12.75" customHeight="1" thickBot="1" x14ac:dyDescent="0.3">
      <c r="A5" s="176"/>
      <c r="B5" s="115" t="s">
        <v>690</v>
      </c>
      <c r="C5" s="116" t="s">
        <v>691</v>
      </c>
    </row>
    <row r="6" spans="1:3" ht="12.75" customHeight="1" x14ac:dyDescent="0.25">
      <c r="A6" s="123" t="s">
        <v>815</v>
      </c>
      <c r="B6" s="117">
        <v>1200</v>
      </c>
      <c r="C6" s="124">
        <v>2400</v>
      </c>
    </row>
    <row r="7" spans="1:3" ht="12.75" customHeight="1" x14ac:dyDescent="0.25">
      <c r="A7" s="118" t="s">
        <v>692</v>
      </c>
      <c r="B7" s="73">
        <v>1200</v>
      </c>
      <c r="C7" s="119">
        <v>2900</v>
      </c>
    </row>
    <row r="8" spans="1:3" ht="12.75" customHeight="1" x14ac:dyDescent="0.25">
      <c r="A8" s="123" t="s">
        <v>693</v>
      </c>
      <c r="B8" s="117">
        <v>1350</v>
      </c>
      <c r="C8" s="124">
        <v>3400</v>
      </c>
    </row>
    <row r="9" spans="1:3" ht="12.75" customHeight="1" x14ac:dyDescent="0.25">
      <c r="A9" s="118" t="s">
        <v>694</v>
      </c>
      <c r="B9" s="73">
        <v>1500</v>
      </c>
      <c r="C9" s="119">
        <v>3900</v>
      </c>
    </row>
    <row r="10" spans="1:3" ht="12.75" customHeight="1" x14ac:dyDescent="0.25">
      <c r="A10" s="123" t="s">
        <v>695</v>
      </c>
      <c r="B10" s="117">
        <v>1650</v>
      </c>
      <c r="C10" s="124">
        <v>4400</v>
      </c>
    </row>
    <row r="11" spans="1:3" ht="12.75" customHeight="1" x14ac:dyDescent="0.25">
      <c r="A11" s="118" t="s">
        <v>696</v>
      </c>
      <c r="B11" s="73">
        <v>1800</v>
      </c>
      <c r="C11" s="119">
        <v>4900</v>
      </c>
    </row>
    <row r="12" spans="1:3" ht="12.75" customHeight="1" x14ac:dyDescent="0.25">
      <c r="A12" s="123" t="s">
        <v>697</v>
      </c>
      <c r="B12" s="117">
        <v>2550</v>
      </c>
      <c r="C12" s="124">
        <v>8400</v>
      </c>
    </row>
    <row r="13" spans="1:3" ht="12.75" customHeight="1" x14ac:dyDescent="0.25">
      <c r="A13" s="118" t="s">
        <v>698</v>
      </c>
      <c r="B13" s="73">
        <v>6750</v>
      </c>
      <c r="C13" s="119">
        <v>18000</v>
      </c>
    </row>
    <row r="14" spans="1:3" ht="12.75" customHeight="1" x14ac:dyDescent="0.25">
      <c r="A14" s="123" t="s">
        <v>699</v>
      </c>
      <c r="B14" s="117">
        <v>13500</v>
      </c>
      <c r="C14" s="124">
        <v>24000</v>
      </c>
    </row>
    <row r="15" spans="1:3" ht="12.75" customHeight="1" x14ac:dyDescent="0.25">
      <c r="A15" s="118" t="s">
        <v>700</v>
      </c>
      <c r="B15" s="73">
        <v>16500</v>
      </c>
      <c r="C15" s="119">
        <v>32000</v>
      </c>
    </row>
    <row r="16" spans="1:3" ht="12.75" customHeight="1" x14ac:dyDescent="0.25">
      <c r="A16" s="120" t="s">
        <v>701</v>
      </c>
      <c r="B16" s="121">
        <v>19500</v>
      </c>
      <c r="C16" s="122">
        <v>36000</v>
      </c>
    </row>
    <row r="17" spans="1:7" ht="12.75" customHeight="1" x14ac:dyDescent="0.25">
      <c r="A17" s="145"/>
      <c r="B17" s="145"/>
      <c r="C17" s="145"/>
    </row>
    <row r="18" spans="1:7" ht="12.75" customHeight="1" thickBot="1" x14ac:dyDescent="0.3">
      <c r="A18" s="234" t="s">
        <v>811</v>
      </c>
      <c r="B18" s="234"/>
      <c r="C18" s="234"/>
    </row>
    <row r="19" spans="1:7" ht="12.75" customHeight="1" x14ac:dyDescent="0.25">
      <c r="A19" s="175" t="s">
        <v>689</v>
      </c>
      <c r="B19" s="238" t="s">
        <v>31</v>
      </c>
      <c r="C19" s="239"/>
    </row>
    <row r="20" spans="1:7" ht="12.75" customHeight="1" thickBot="1" x14ac:dyDescent="0.3">
      <c r="A20" s="176"/>
      <c r="B20" s="115" t="s">
        <v>690</v>
      </c>
      <c r="C20" s="116" t="s">
        <v>691</v>
      </c>
    </row>
    <row r="21" spans="1:7" ht="12.75" customHeight="1" x14ac:dyDescent="0.25">
      <c r="A21" s="118" t="s">
        <v>692</v>
      </c>
      <c r="B21" s="73">
        <v>500</v>
      </c>
      <c r="C21" s="119">
        <v>500</v>
      </c>
    </row>
    <row r="22" spans="1:7" ht="12.75" customHeight="1" x14ac:dyDescent="0.25">
      <c r="A22" s="120" t="s">
        <v>238</v>
      </c>
      <c r="B22" s="121">
        <v>50</v>
      </c>
      <c r="C22" s="122">
        <v>50</v>
      </c>
    </row>
    <row r="23" spans="1:7" ht="12.75" customHeight="1" x14ac:dyDescent="0.25">
      <c r="A23" s="80"/>
      <c r="B23" s="80"/>
      <c r="C23" s="2"/>
    </row>
    <row r="24" spans="1:7" ht="40.200000000000003" customHeight="1" x14ac:dyDescent="0.25">
      <c r="A24" s="173" t="s">
        <v>736</v>
      </c>
      <c r="B24" s="173"/>
      <c r="C24" s="173"/>
    </row>
    <row r="25" spans="1:7" ht="12.75" customHeight="1" x14ac:dyDescent="0.25">
      <c r="A25" s="173" t="s">
        <v>738</v>
      </c>
      <c r="B25" s="173"/>
      <c r="C25" s="173"/>
    </row>
    <row r="26" spans="1:7" ht="12.75" customHeight="1" x14ac:dyDescent="0.25">
      <c r="A26" s="173" t="s">
        <v>739</v>
      </c>
      <c r="B26" s="173"/>
      <c r="C26" s="173"/>
    </row>
    <row r="27" spans="1:7" ht="24.9" customHeight="1" x14ac:dyDescent="0.25">
      <c r="A27" s="173" t="s">
        <v>737</v>
      </c>
      <c r="B27" s="173"/>
      <c r="C27" s="173"/>
      <c r="D27" s="2"/>
      <c r="E27" s="2"/>
      <c r="F27" s="2"/>
      <c r="G27" s="2"/>
    </row>
    <row r="28" spans="1:7" ht="40.200000000000003" customHeight="1" x14ac:dyDescent="0.25">
      <c r="A28" s="173" t="s">
        <v>702</v>
      </c>
      <c r="B28" s="173"/>
      <c r="C28" s="173"/>
    </row>
    <row r="29" spans="1:7" ht="24.9" customHeight="1" x14ac:dyDescent="0.25">
      <c r="A29" s="173" t="s">
        <v>740</v>
      </c>
      <c r="B29" s="173"/>
      <c r="C29" s="173"/>
    </row>
    <row r="30" spans="1:7" ht="24.9" customHeight="1" x14ac:dyDescent="0.25">
      <c r="A30" s="173" t="s">
        <v>741</v>
      </c>
      <c r="B30" s="173"/>
      <c r="C30" s="173"/>
    </row>
    <row r="32" spans="1:7" ht="12.75" customHeight="1" x14ac:dyDescent="0.25">
      <c r="A32" s="236"/>
      <c r="B32" s="236"/>
      <c r="C32" s="145"/>
    </row>
    <row r="33" spans="1:3" ht="30" customHeight="1" x14ac:dyDescent="0.25">
      <c r="A33" s="173"/>
      <c r="B33" s="173"/>
      <c r="C33" s="2"/>
    </row>
    <row r="34" spans="1:3" ht="47.25" customHeight="1" x14ac:dyDescent="0.25">
      <c r="A34" s="237"/>
      <c r="B34" s="237"/>
    </row>
    <row r="35" spans="1:3" x14ac:dyDescent="0.25">
      <c r="A35" s="234"/>
      <c r="B35" s="234"/>
      <c r="C35" s="46"/>
    </row>
  </sheetData>
  <mergeCells count="18">
    <mergeCell ref="A26:C26"/>
    <mergeCell ref="A27:C27"/>
    <mergeCell ref="A28:C28"/>
    <mergeCell ref="A29:C29"/>
    <mergeCell ref="A1:C1"/>
    <mergeCell ref="A4:A5"/>
    <mergeCell ref="B4:C4"/>
    <mergeCell ref="A3:C3"/>
    <mergeCell ref="A25:C25"/>
    <mergeCell ref="A18:C18"/>
    <mergeCell ref="A19:A20"/>
    <mergeCell ref="B19:C19"/>
    <mergeCell ref="A24:C24"/>
    <mergeCell ref="A30:C30"/>
    <mergeCell ref="A32:B32"/>
    <mergeCell ref="A33:B33"/>
    <mergeCell ref="A34:B34"/>
    <mergeCell ref="A35:B35"/>
  </mergeCells>
  <printOptions horizontalCentered="1" verticalCentered="1"/>
  <pageMargins left="0.39370078740157483" right="0.39370078740157483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zoomScaleNormal="100" zoomScaleSheetLayoutView="85" workbookViewId="0">
      <selection activeCell="B6" sqref="B6"/>
    </sheetView>
  </sheetViews>
  <sheetFormatPr defaultColWidth="9.109375" defaultRowHeight="13.2" x14ac:dyDescent="0.25"/>
  <cols>
    <col min="1" max="1" width="22.6640625" style="1" customWidth="1"/>
    <col min="2" max="3" width="50.6640625" style="1" customWidth="1"/>
    <col min="4" max="16384" width="9.109375" style="1"/>
  </cols>
  <sheetData>
    <row r="1" spans="1:3" ht="24.9" customHeight="1" thickBot="1" x14ac:dyDescent="0.3">
      <c r="A1" s="236" t="s">
        <v>703</v>
      </c>
      <c r="B1" s="236"/>
      <c r="C1" s="236"/>
    </row>
    <row r="2" spans="1:3" ht="34.5" customHeight="1" x14ac:dyDescent="0.25">
      <c r="A2" s="105" t="s">
        <v>516</v>
      </c>
      <c r="B2" s="106" t="s">
        <v>690</v>
      </c>
      <c r="C2" s="107" t="s">
        <v>691</v>
      </c>
    </row>
    <row r="3" spans="1:3" ht="50.1" customHeight="1" x14ac:dyDescent="0.25">
      <c r="A3" s="108" t="s">
        <v>14</v>
      </c>
      <c r="B3" s="109" t="s">
        <v>704</v>
      </c>
      <c r="C3" s="110" t="s">
        <v>705</v>
      </c>
    </row>
    <row r="4" spans="1:3" ht="50.1" customHeight="1" x14ac:dyDescent="0.25">
      <c r="A4" s="111" t="s">
        <v>59</v>
      </c>
      <c r="B4" s="112" t="s">
        <v>706</v>
      </c>
      <c r="C4" s="113" t="s">
        <v>707</v>
      </c>
    </row>
    <row r="5" spans="1:3" ht="50.1" customHeight="1" x14ac:dyDescent="0.25">
      <c r="A5" s="108" t="s">
        <v>58</v>
      </c>
      <c r="B5" s="109" t="s">
        <v>837</v>
      </c>
      <c r="C5" s="110" t="s">
        <v>708</v>
      </c>
    </row>
    <row r="6" spans="1:3" ht="50.1" customHeight="1" x14ac:dyDescent="0.25">
      <c r="A6" s="111" t="s">
        <v>15</v>
      </c>
      <c r="B6" s="112" t="s">
        <v>709</v>
      </c>
      <c r="C6" s="113" t="s">
        <v>710</v>
      </c>
    </row>
    <row r="7" spans="1:3" ht="50.1" customHeight="1" x14ac:dyDescent="0.25">
      <c r="A7" s="108" t="s">
        <v>18</v>
      </c>
      <c r="B7" s="109" t="s">
        <v>711</v>
      </c>
      <c r="C7" s="110" t="s">
        <v>712</v>
      </c>
    </row>
    <row r="8" spans="1:3" ht="50.1" customHeight="1" x14ac:dyDescent="0.25">
      <c r="A8" s="111" t="s">
        <v>19</v>
      </c>
      <c r="B8" s="112" t="s">
        <v>713</v>
      </c>
      <c r="C8" s="113" t="s">
        <v>714</v>
      </c>
    </row>
    <row r="9" spans="1:3" ht="50.1" customHeight="1" x14ac:dyDescent="0.25">
      <c r="A9" s="108" t="s">
        <v>191</v>
      </c>
      <c r="B9" s="109" t="s">
        <v>715</v>
      </c>
      <c r="C9" s="110" t="s">
        <v>716</v>
      </c>
    </row>
    <row r="10" spans="1:3" ht="50.1" customHeight="1" x14ac:dyDescent="0.25">
      <c r="A10" s="111" t="s">
        <v>274</v>
      </c>
      <c r="B10" s="112" t="s">
        <v>717</v>
      </c>
      <c r="C10" s="113" t="s">
        <v>718</v>
      </c>
    </row>
    <row r="11" spans="1:3" ht="50.1" customHeight="1" x14ac:dyDescent="0.25">
      <c r="A11" s="108" t="s">
        <v>230</v>
      </c>
      <c r="B11" s="109" t="s">
        <v>719</v>
      </c>
      <c r="C11" s="110" t="s">
        <v>720</v>
      </c>
    </row>
    <row r="12" spans="1:3" ht="50.1" customHeight="1" x14ac:dyDescent="0.25">
      <c r="A12" s="111" t="s">
        <v>21</v>
      </c>
      <c r="B12" s="112" t="s">
        <v>721</v>
      </c>
      <c r="C12" s="113" t="s">
        <v>722</v>
      </c>
    </row>
    <row r="13" spans="1:3" ht="50.1" customHeight="1" x14ac:dyDescent="0.25">
      <c r="A13" s="108" t="s">
        <v>22</v>
      </c>
      <c r="B13" s="109" t="s">
        <v>723</v>
      </c>
      <c r="C13" s="110" t="s">
        <v>724</v>
      </c>
    </row>
    <row r="14" spans="1:3" ht="50.1" customHeight="1" x14ac:dyDescent="0.25">
      <c r="A14" s="111" t="s">
        <v>61</v>
      </c>
      <c r="B14" s="112" t="s">
        <v>725</v>
      </c>
      <c r="C14" s="113" t="s">
        <v>726</v>
      </c>
    </row>
    <row r="15" spans="1:3" ht="50.1" customHeight="1" x14ac:dyDescent="0.25">
      <c r="A15" s="108" t="s">
        <v>24</v>
      </c>
      <c r="B15" s="109" t="s">
        <v>727</v>
      </c>
      <c r="C15" s="110" t="s">
        <v>728</v>
      </c>
    </row>
    <row r="16" spans="1:3" ht="50.1" customHeight="1" x14ac:dyDescent="0.25">
      <c r="A16" s="111" t="s">
        <v>26</v>
      </c>
      <c r="B16" s="112" t="s">
        <v>729</v>
      </c>
      <c r="C16" s="113" t="s">
        <v>730</v>
      </c>
    </row>
    <row r="17" spans="1:3" ht="50.1" customHeight="1" x14ac:dyDescent="0.25">
      <c r="A17" s="108" t="s">
        <v>27</v>
      </c>
      <c r="B17" s="109" t="s">
        <v>731</v>
      </c>
      <c r="C17" s="110" t="s">
        <v>732</v>
      </c>
    </row>
    <row r="18" spans="1:3" ht="50.1" customHeight="1" thickBot="1" x14ac:dyDescent="0.3">
      <c r="A18" s="114" t="s">
        <v>30</v>
      </c>
      <c r="B18" s="115" t="s">
        <v>733</v>
      </c>
      <c r="C18" s="116" t="s">
        <v>734</v>
      </c>
    </row>
    <row r="19" spans="1:3" ht="6.75" customHeight="1" x14ac:dyDescent="0.25">
      <c r="A19" s="80"/>
      <c r="B19" s="2"/>
      <c r="C19" s="2"/>
    </row>
  </sheetData>
  <mergeCells count="1">
    <mergeCell ref="A1:C1"/>
  </mergeCells>
  <printOptions horizontalCentered="1" verticalCentered="1"/>
  <pageMargins left="0.39370078740157483" right="0.39370078740157483" top="0.98425196850393704" bottom="0.98425196850393704" header="0" footer="0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zoomScaleNormal="100" zoomScaleSheetLayoutView="100" workbookViewId="0">
      <selection sqref="A1:D1"/>
    </sheetView>
  </sheetViews>
  <sheetFormatPr defaultColWidth="9.109375" defaultRowHeight="13.2" x14ac:dyDescent="0.25"/>
  <cols>
    <col min="1" max="1" width="48.109375" style="125" customWidth="1"/>
    <col min="2" max="2" width="20.109375" style="125" customWidth="1"/>
    <col min="3" max="3" width="13.5546875" style="125" customWidth="1"/>
    <col min="4" max="4" width="29.5546875" style="125" customWidth="1"/>
    <col min="5" max="16384" width="9.109375" style="125"/>
  </cols>
  <sheetData>
    <row r="1" spans="1:4" ht="24.9" customHeight="1" thickBot="1" x14ac:dyDescent="0.3">
      <c r="A1" s="241" t="s">
        <v>808</v>
      </c>
      <c r="B1" s="241"/>
      <c r="C1" s="241"/>
      <c r="D1" s="241"/>
    </row>
    <row r="2" spans="1:4" ht="24.9" customHeight="1" thickBot="1" x14ac:dyDescent="0.3">
      <c r="A2" s="242" t="s">
        <v>807</v>
      </c>
      <c r="B2" s="243"/>
      <c r="C2" s="243"/>
      <c r="D2" s="138" t="s">
        <v>789</v>
      </c>
    </row>
    <row r="3" spans="1:4" ht="30" customHeight="1" x14ac:dyDescent="0.25">
      <c r="A3" s="244" t="s">
        <v>806</v>
      </c>
      <c r="B3" s="244"/>
      <c r="C3" s="244"/>
      <c r="D3" s="142" t="s">
        <v>801</v>
      </c>
    </row>
    <row r="4" spans="1:4" ht="30" customHeight="1" x14ac:dyDescent="0.25">
      <c r="A4" s="240" t="s">
        <v>805</v>
      </c>
      <c r="B4" s="240"/>
      <c r="C4" s="240"/>
      <c r="D4" s="143" t="s">
        <v>801</v>
      </c>
    </row>
    <row r="5" spans="1:4" ht="30" customHeight="1" x14ac:dyDescent="0.25">
      <c r="A5" s="244" t="s">
        <v>804</v>
      </c>
      <c r="B5" s="244"/>
      <c r="C5" s="244"/>
      <c r="D5" s="142" t="s">
        <v>803</v>
      </c>
    </row>
    <row r="6" spans="1:4" ht="30" customHeight="1" x14ac:dyDescent="0.25">
      <c r="A6" s="240" t="s">
        <v>802</v>
      </c>
      <c r="B6" s="240"/>
      <c r="C6" s="240"/>
      <c r="D6" s="143" t="s">
        <v>801</v>
      </c>
    </row>
    <row r="7" spans="1:4" ht="30" customHeight="1" x14ac:dyDescent="0.25">
      <c r="A7" s="244" t="s">
        <v>800</v>
      </c>
      <c r="B7" s="244"/>
      <c r="C7" s="244"/>
      <c r="D7" s="142" t="s">
        <v>799</v>
      </c>
    </row>
    <row r="8" spans="1:4" ht="39.9" customHeight="1" x14ac:dyDescent="0.25">
      <c r="A8" s="240" t="s">
        <v>798</v>
      </c>
      <c r="B8" s="240"/>
      <c r="C8" s="240"/>
      <c r="D8" s="143" t="s">
        <v>797</v>
      </c>
    </row>
    <row r="9" spans="1:4" ht="15" customHeight="1" x14ac:dyDescent="0.25">
      <c r="A9" s="244" t="s">
        <v>796</v>
      </c>
      <c r="B9" s="244"/>
      <c r="C9" s="244"/>
      <c r="D9" s="142" t="s">
        <v>795</v>
      </c>
    </row>
    <row r="10" spans="1:4" ht="30" customHeight="1" x14ac:dyDescent="0.25">
      <c r="A10" s="245" t="s">
        <v>794</v>
      </c>
      <c r="B10" s="245"/>
      <c r="C10" s="245"/>
      <c r="D10" s="141" t="s">
        <v>793</v>
      </c>
    </row>
    <row r="11" spans="1:4" ht="24.9" customHeight="1" thickBot="1" x14ac:dyDescent="0.3">
      <c r="A11" s="241" t="s">
        <v>792</v>
      </c>
      <c r="B11" s="241"/>
      <c r="C11" s="241"/>
      <c r="D11" s="241"/>
    </row>
    <row r="12" spans="1:4" ht="24.9" customHeight="1" thickBot="1" x14ac:dyDescent="0.3">
      <c r="A12" s="140" t="s">
        <v>791</v>
      </c>
      <c r="B12" s="139" t="s">
        <v>790</v>
      </c>
      <c r="C12" s="139" t="s">
        <v>789</v>
      </c>
      <c r="D12" s="138" t="s">
        <v>788</v>
      </c>
    </row>
    <row r="13" spans="1:4" ht="12.75" customHeight="1" x14ac:dyDescent="0.25">
      <c r="A13" s="80" t="s">
        <v>785</v>
      </c>
      <c r="B13" s="135" t="s">
        <v>787</v>
      </c>
      <c r="C13" s="135">
        <v>500</v>
      </c>
      <c r="D13" s="134" t="s">
        <v>786</v>
      </c>
    </row>
    <row r="14" spans="1:4" ht="12.75" customHeight="1" x14ac:dyDescent="0.25">
      <c r="A14" s="133" t="s">
        <v>785</v>
      </c>
      <c r="B14" s="131" t="s">
        <v>784</v>
      </c>
      <c r="C14" s="132">
        <v>600</v>
      </c>
      <c r="D14" s="131" t="s">
        <v>783</v>
      </c>
    </row>
    <row r="15" spans="1:4" s="137" customFormat="1" ht="25.5" customHeight="1" x14ac:dyDescent="0.25">
      <c r="A15" s="80" t="s">
        <v>782</v>
      </c>
      <c r="B15" s="134" t="s">
        <v>781</v>
      </c>
      <c r="C15" s="134">
        <v>250</v>
      </c>
      <c r="D15" s="134" t="s">
        <v>780</v>
      </c>
    </row>
    <row r="16" spans="1:4" s="137" customFormat="1" ht="25.5" customHeight="1" x14ac:dyDescent="0.25">
      <c r="A16" s="133" t="s">
        <v>779</v>
      </c>
      <c r="B16" s="131" t="s">
        <v>778</v>
      </c>
      <c r="C16" s="131">
        <v>300</v>
      </c>
      <c r="D16" s="131" t="s">
        <v>777</v>
      </c>
    </row>
    <row r="17" spans="1:7" s="137" customFormat="1" ht="25.5" customHeight="1" x14ac:dyDescent="0.25">
      <c r="A17" s="80" t="s">
        <v>776</v>
      </c>
      <c r="B17" s="134" t="s">
        <v>775</v>
      </c>
      <c r="C17" s="134">
        <v>500</v>
      </c>
      <c r="D17" s="134" t="s">
        <v>774</v>
      </c>
    </row>
    <row r="18" spans="1:7" s="134" customFormat="1" ht="25.5" customHeight="1" x14ac:dyDescent="0.25">
      <c r="A18" s="133" t="s">
        <v>773</v>
      </c>
      <c r="B18" s="131" t="s">
        <v>772</v>
      </c>
      <c r="C18" s="131">
        <v>600</v>
      </c>
      <c r="D18" s="131" t="s">
        <v>771</v>
      </c>
    </row>
    <row r="19" spans="1:7" s="134" customFormat="1" ht="25.5" customHeight="1" x14ac:dyDescent="0.25">
      <c r="A19" s="80" t="s">
        <v>770</v>
      </c>
      <c r="B19" s="134" t="s">
        <v>769</v>
      </c>
      <c r="C19" s="134">
        <v>800</v>
      </c>
      <c r="D19" s="134" t="s">
        <v>768</v>
      </c>
    </row>
    <row r="20" spans="1:7" s="136" customFormat="1" ht="25.5" customHeight="1" x14ac:dyDescent="0.25">
      <c r="A20" s="133" t="s">
        <v>767</v>
      </c>
      <c r="B20" s="131" t="s">
        <v>766</v>
      </c>
      <c r="C20" s="132">
        <v>300</v>
      </c>
      <c r="D20" s="131" t="s">
        <v>765</v>
      </c>
      <c r="E20" s="134"/>
      <c r="F20" s="134"/>
      <c r="G20" s="134"/>
    </row>
    <row r="21" spans="1:7" s="136" customFormat="1" ht="25.5" customHeight="1" x14ac:dyDescent="0.25">
      <c r="A21" s="80" t="s">
        <v>764</v>
      </c>
      <c r="B21" s="134" t="s">
        <v>763</v>
      </c>
      <c r="C21" s="135">
        <v>1200</v>
      </c>
      <c r="D21" s="134" t="s">
        <v>762</v>
      </c>
      <c r="E21" s="134"/>
      <c r="F21" s="134"/>
      <c r="G21" s="134"/>
    </row>
    <row r="22" spans="1:7" s="136" customFormat="1" ht="12.75" customHeight="1" x14ac:dyDescent="0.25">
      <c r="A22" s="133" t="s">
        <v>760</v>
      </c>
      <c r="B22" s="132" t="s">
        <v>761</v>
      </c>
      <c r="C22" s="132">
        <v>300</v>
      </c>
      <c r="D22" s="131"/>
      <c r="E22" s="134"/>
      <c r="F22" s="134"/>
      <c r="G22" s="134"/>
    </row>
    <row r="23" spans="1:7" ht="12.75" customHeight="1" x14ac:dyDescent="0.25">
      <c r="A23" s="80" t="s">
        <v>760</v>
      </c>
      <c r="B23" s="134" t="s">
        <v>759</v>
      </c>
      <c r="C23" s="135">
        <v>400</v>
      </c>
      <c r="D23" s="134"/>
    </row>
    <row r="24" spans="1:7" ht="12.75" customHeight="1" x14ac:dyDescent="0.25">
      <c r="A24" s="133" t="s">
        <v>758</v>
      </c>
      <c r="B24" s="131" t="s">
        <v>754</v>
      </c>
      <c r="C24" s="132">
        <v>15000</v>
      </c>
      <c r="D24" s="131" t="s">
        <v>757</v>
      </c>
    </row>
    <row r="25" spans="1:7" ht="12.75" customHeight="1" x14ac:dyDescent="0.25">
      <c r="A25" s="80" t="s">
        <v>756</v>
      </c>
      <c r="B25" s="134" t="s">
        <v>754</v>
      </c>
      <c r="C25" s="135">
        <v>30000</v>
      </c>
      <c r="D25" s="134" t="s">
        <v>809</v>
      </c>
    </row>
    <row r="26" spans="1:7" ht="12.75" customHeight="1" x14ac:dyDescent="0.25">
      <c r="A26" s="133" t="s">
        <v>755</v>
      </c>
      <c r="B26" s="131" t="s">
        <v>754</v>
      </c>
      <c r="C26" s="132">
        <v>40000</v>
      </c>
      <c r="D26" s="131" t="s">
        <v>810</v>
      </c>
    </row>
    <row r="27" spans="1:7" s="127" customFormat="1" ht="12.75" customHeight="1" x14ac:dyDescent="0.25">
      <c r="A27" s="130" t="s">
        <v>753</v>
      </c>
      <c r="B27" s="129" t="s">
        <v>752</v>
      </c>
      <c r="C27" s="129">
        <v>5000</v>
      </c>
      <c r="D27" s="128"/>
    </row>
    <row r="28" spans="1:7" x14ac:dyDescent="0.25">
      <c r="A28" s="247" t="s">
        <v>751</v>
      </c>
      <c r="B28" s="247"/>
      <c r="C28" s="247"/>
      <c r="D28" s="247"/>
    </row>
    <row r="29" spans="1:7" ht="13.8" thickBot="1" x14ac:dyDescent="0.3"/>
    <row r="30" spans="1:7" customFormat="1" ht="12.75" customHeight="1" thickBot="1" x14ac:dyDescent="0.3">
      <c r="A30" s="248" t="s">
        <v>750</v>
      </c>
      <c r="B30" s="249"/>
      <c r="C30" s="249"/>
      <c r="D30" s="250"/>
    </row>
    <row r="31" spans="1:7" customFormat="1" x14ac:dyDescent="0.25">
      <c r="A31" s="2" t="s">
        <v>749</v>
      </c>
      <c r="B31" s="234" t="s">
        <v>748</v>
      </c>
      <c r="C31" s="234"/>
      <c r="D31" s="234"/>
    </row>
    <row r="32" spans="1:7" customFormat="1" x14ac:dyDescent="0.25">
      <c r="A32" s="47" t="s">
        <v>747</v>
      </c>
      <c r="B32" s="205" t="s">
        <v>746</v>
      </c>
      <c r="C32" s="205"/>
      <c r="D32" s="205"/>
    </row>
    <row r="33" spans="1:4" customFormat="1" x14ac:dyDescent="0.25">
      <c r="A33" s="126" t="s">
        <v>745</v>
      </c>
      <c r="B33" s="177" t="s">
        <v>744</v>
      </c>
      <c r="C33" s="177"/>
      <c r="D33" s="246"/>
    </row>
    <row r="34" spans="1:4" s="1" customFormat="1" ht="12.75" customHeight="1" x14ac:dyDescent="0.25">
      <c r="A34" s="173" t="s">
        <v>743</v>
      </c>
      <c r="B34" s="173"/>
      <c r="C34" s="173"/>
      <c r="D34" s="173"/>
    </row>
    <row r="35" spans="1:4" customFormat="1" ht="12.75" customHeight="1" x14ac:dyDescent="0.25">
      <c r="A35" s="173"/>
      <c r="B35" s="173"/>
      <c r="C35" s="173"/>
      <c r="D35" s="173"/>
    </row>
    <row r="36" spans="1:4" customFormat="1" ht="12.75" customHeight="1" x14ac:dyDescent="0.25">
      <c r="A36" s="173" t="s">
        <v>742</v>
      </c>
      <c r="B36" s="173"/>
      <c r="C36" s="173"/>
      <c r="D36" s="173"/>
    </row>
  </sheetData>
  <mergeCells count="19">
    <mergeCell ref="B32:D32"/>
    <mergeCell ref="B33:D33"/>
    <mergeCell ref="A28:D28"/>
    <mergeCell ref="A36:D36"/>
    <mergeCell ref="A34:D34"/>
    <mergeCell ref="A35:D35"/>
    <mergeCell ref="A30:D30"/>
    <mergeCell ref="B31:D31"/>
    <mergeCell ref="A7:C7"/>
    <mergeCell ref="A8:C8"/>
    <mergeCell ref="A9:C9"/>
    <mergeCell ref="A10:C10"/>
    <mergeCell ref="A11:D11"/>
    <mergeCell ref="A6:C6"/>
    <mergeCell ref="A1:D1"/>
    <mergeCell ref="A2:C2"/>
    <mergeCell ref="A3:C3"/>
    <mergeCell ref="A4:C4"/>
    <mergeCell ref="A5:C5"/>
  </mergeCells>
  <pageMargins left="0.59055118110236215" right="0.59055118110236215" top="1.5748031496062993" bottom="0.59055118110236215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7"/>
  <sheetViews>
    <sheetView zoomScale="120" zoomScaleNormal="120" zoomScaleSheetLayoutView="100" workbookViewId="0">
      <pane ySplit="1" topLeftCell="A2" activePane="bottomLeft" state="frozen"/>
      <selection sqref="A1:N1"/>
      <selection pane="bottomLeft"/>
    </sheetView>
  </sheetViews>
  <sheetFormatPr defaultColWidth="9.109375" defaultRowHeight="13.2" x14ac:dyDescent="0.25"/>
  <cols>
    <col min="1" max="1" width="18.6640625" style="3" customWidth="1"/>
    <col min="2" max="19" width="3.44140625" style="3" customWidth="1"/>
    <col min="20" max="32" width="3.6640625" style="3" customWidth="1"/>
    <col min="33" max="16384" width="9.109375" style="3"/>
  </cols>
  <sheetData>
    <row r="1" spans="1:19" ht="96" customHeight="1" x14ac:dyDescent="0.25">
      <c r="A1" s="69" t="s">
        <v>275</v>
      </c>
      <c r="B1" s="9" t="s">
        <v>14</v>
      </c>
      <c r="C1" s="9" t="s">
        <v>59</v>
      </c>
      <c r="D1" s="9" t="s">
        <v>58</v>
      </c>
      <c r="E1" s="9" t="s">
        <v>15</v>
      </c>
      <c r="F1" s="9" t="s">
        <v>18</v>
      </c>
      <c r="G1" s="9" t="s">
        <v>19</v>
      </c>
      <c r="H1" s="9" t="s">
        <v>191</v>
      </c>
      <c r="I1" s="9" t="s">
        <v>274</v>
      </c>
      <c r="J1" s="68" t="s">
        <v>230</v>
      </c>
      <c r="K1" s="10" t="s">
        <v>21</v>
      </c>
      <c r="L1" s="9" t="s">
        <v>22</v>
      </c>
      <c r="M1" s="9" t="s">
        <v>61</v>
      </c>
      <c r="N1" s="10" t="s">
        <v>167</v>
      </c>
      <c r="O1" s="9" t="s">
        <v>24</v>
      </c>
      <c r="P1" s="9" t="s">
        <v>55</v>
      </c>
      <c r="Q1" s="10" t="s">
        <v>26</v>
      </c>
      <c r="R1" s="9" t="s">
        <v>27</v>
      </c>
      <c r="S1" s="67" t="s">
        <v>30</v>
      </c>
    </row>
    <row r="2" spans="1:19" ht="12.75" customHeight="1" x14ac:dyDescent="0.25">
      <c r="A2" s="11" t="s">
        <v>14</v>
      </c>
      <c r="B2" s="12" t="s">
        <v>63</v>
      </c>
      <c r="C2" s="12">
        <f>B3</f>
        <v>1</v>
      </c>
      <c r="D2" s="12">
        <f>B4</f>
        <v>1</v>
      </c>
      <c r="E2" s="12">
        <f>B5</f>
        <v>1</v>
      </c>
      <c r="F2" s="12">
        <f>B6</f>
        <v>2</v>
      </c>
      <c r="G2" s="12">
        <f>B7</f>
        <v>1</v>
      </c>
      <c r="H2" s="12">
        <f>B8</f>
        <v>2</v>
      </c>
      <c r="I2" s="12">
        <f>B9</f>
        <v>2</v>
      </c>
      <c r="J2" s="12">
        <f>B10</f>
        <v>1</v>
      </c>
      <c r="K2" s="12">
        <f>B11</f>
        <v>2</v>
      </c>
      <c r="L2" s="12">
        <f>B12</f>
        <v>2</v>
      </c>
      <c r="M2" s="12">
        <f>B13</f>
        <v>2</v>
      </c>
      <c r="N2" s="12">
        <f>B14</f>
        <v>2</v>
      </c>
      <c r="O2" s="12">
        <f>B15</f>
        <v>2</v>
      </c>
      <c r="P2" s="12">
        <f>B16</f>
        <v>2</v>
      </c>
      <c r="Q2" s="12">
        <f>B17</f>
        <v>1</v>
      </c>
      <c r="R2" s="12">
        <f>B18</f>
        <v>2</v>
      </c>
      <c r="S2" s="66">
        <f>B19</f>
        <v>2</v>
      </c>
    </row>
    <row r="3" spans="1:19" ht="12.75" customHeight="1" x14ac:dyDescent="0.25">
      <c r="A3" s="11" t="s">
        <v>59</v>
      </c>
      <c r="B3" s="12">
        <v>1</v>
      </c>
      <c r="C3" s="12" t="s">
        <v>63</v>
      </c>
      <c r="D3" s="12">
        <f>C4</f>
        <v>1</v>
      </c>
      <c r="E3" s="12">
        <f>C5</f>
        <v>1</v>
      </c>
      <c r="F3" s="12">
        <f>C6</f>
        <v>2</v>
      </c>
      <c r="G3" s="12">
        <f>C7</f>
        <v>2</v>
      </c>
      <c r="H3" s="12">
        <f>C8</f>
        <v>1</v>
      </c>
      <c r="I3" s="12">
        <f>C9</f>
        <v>1</v>
      </c>
      <c r="J3" s="12">
        <f>C10</f>
        <v>1</v>
      </c>
      <c r="K3" s="12">
        <f>C11</f>
        <v>2</v>
      </c>
      <c r="L3" s="12">
        <f>C12</f>
        <v>2</v>
      </c>
      <c r="M3" s="12">
        <f>C13</f>
        <v>2</v>
      </c>
      <c r="N3" s="12">
        <f>C14</f>
        <v>2</v>
      </c>
      <c r="O3" s="12">
        <f>C15</f>
        <v>2</v>
      </c>
      <c r="P3" s="12">
        <f>C16</f>
        <v>2</v>
      </c>
      <c r="Q3" s="12">
        <f>C17</f>
        <v>1</v>
      </c>
      <c r="R3" s="12">
        <f>C18</f>
        <v>2</v>
      </c>
      <c r="S3" s="66">
        <f>C19</f>
        <v>2</v>
      </c>
    </row>
    <row r="4" spans="1:19" ht="12.75" customHeight="1" x14ac:dyDescent="0.25">
      <c r="A4" s="11" t="s">
        <v>58</v>
      </c>
      <c r="B4" s="12">
        <v>1</v>
      </c>
      <c r="C4" s="12">
        <v>1</v>
      </c>
      <c r="D4" s="12" t="s">
        <v>63</v>
      </c>
      <c r="E4" s="12">
        <f>D5</f>
        <v>1</v>
      </c>
      <c r="F4" s="12">
        <f>D6</f>
        <v>1</v>
      </c>
      <c r="G4" s="12">
        <f>D7</f>
        <v>1</v>
      </c>
      <c r="H4" s="12">
        <f>D8</f>
        <v>1</v>
      </c>
      <c r="I4" s="12">
        <f>D9</f>
        <v>1</v>
      </c>
      <c r="J4" s="12">
        <f>D10</f>
        <v>1</v>
      </c>
      <c r="K4" s="12">
        <f>D11</f>
        <v>1</v>
      </c>
      <c r="L4" s="12">
        <f>D12</f>
        <v>1</v>
      </c>
      <c r="M4" s="12">
        <f>D13</f>
        <v>1</v>
      </c>
      <c r="N4" s="12">
        <f>D14</f>
        <v>1</v>
      </c>
      <c r="O4" s="12">
        <f>D15</f>
        <v>1</v>
      </c>
      <c r="P4" s="12">
        <f>D16</f>
        <v>1</v>
      </c>
      <c r="Q4" s="12">
        <f>D17</f>
        <v>1</v>
      </c>
      <c r="R4" s="12">
        <f>D18</f>
        <v>1</v>
      </c>
      <c r="S4" s="66">
        <f>D19</f>
        <v>1</v>
      </c>
    </row>
    <row r="5" spans="1:19" ht="12.75" customHeight="1" x14ac:dyDescent="0.25">
      <c r="A5" s="11" t="s">
        <v>15</v>
      </c>
      <c r="B5" s="12">
        <v>1</v>
      </c>
      <c r="C5" s="12">
        <v>1</v>
      </c>
      <c r="D5" s="12">
        <v>1</v>
      </c>
      <c r="E5" s="12" t="s">
        <v>63</v>
      </c>
      <c r="F5" s="12">
        <f>E6</f>
        <v>2</v>
      </c>
      <c r="G5" s="12">
        <f>E7</f>
        <v>2</v>
      </c>
      <c r="H5" s="12">
        <f>E8</f>
        <v>2</v>
      </c>
      <c r="I5" s="12">
        <f>E9</f>
        <v>2</v>
      </c>
      <c r="J5" s="12">
        <f>E10</f>
        <v>1</v>
      </c>
      <c r="K5" s="12">
        <f>E11</f>
        <v>2</v>
      </c>
      <c r="L5" s="12">
        <f>E12</f>
        <v>2</v>
      </c>
      <c r="M5" s="12">
        <f>E13</f>
        <v>2</v>
      </c>
      <c r="N5" s="12">
        <f>E14</f>
        <v>2</v>
      </c>
      <c r="O5" s="12">
        <f>E15</f>
        <v>2</v>
      </c>
      <c r="P5" s="12">
        <f>E16</f>
        <v>2</v>
      </c>
      <c r="Q5" s="12">
        <f>E17</f>
        <v>1</v>
      </c>
      <c r="R5" s="12">
        <f>E18</f>
        <v>2</v>
      </c>
      <c r="S5" s="66">
        <f>E19</f>
        <v>2</v>
      </c>
    </row>
    <row r="6" spans="1:19" ht="12.75" customHeight="1" x14ac:dyDescent="0.25">
      <c r="A6" s="11" t="s">
        <v>18</v>
      </c>
      <c r="B6" s="12">
        <v>2</v>
      </c>
      <c r="C6" s="12">
        <v>2</v>
      </c>
      <c r="D6" s="12">
        <v>1</v>
      </c>
      <c r="E6" s="12">
        <v>2</v>
      </c>
      <c r="F6" s="12" t="s">
        <v>63</v>
      </c>
      <c r="G6" s="12">
        <f>F7</f>
        <v>1</v>
      </c>
      <c r="H6" s="12">
        <f>F8</f>
        <v>1</v>
      </c>
      <c r="I6" s="12">
        <f>F9</f>
        <v>2</v>
      </c>
      <c r="J6" s="12">
        <f>F10</f>
        <v>1</v>
      </c>
      <c r="K6" s="12">
        <f>F11</f>
        <v>2</v>
      </c>
      <c r="L6" s="12">
        <f>F12</f>
        <v>2</v>
      </c>
      <c r="M6" s="12">
        <f>F13</f>
        <v>2</v>
      </c>
      <c r="N6" s="12">
        <f>F14</f>
        <v>2</v>
      </c>
      <c r="O6" s="12">
        <f>F15</f>
        <v>2</v>
      </c>
      <c r="P6" s="12">
        <f>F16</f>
        <v>2</v>
      </c>
      <c r="Q6" s="12">
        <f>F17</f>
        <v>2</v>
      </c>
      <c r="R6" s="12">
        <f>F18</f>
        <v>2</v>
      </c>
      <c r="S6" s="66">
        <f>F19</f>
        <v>2</v>
      </c>
    </row>
    <row r="7" spans="1:19" ht="12.75" customHeight="1" x14ac:dyDescent="0.25">
      <c r="A7" s="11" t="s">
        <v>19</v>
      </c>
      <c r="B7" s="12">
        <v>1</v>
      </c>
      <c r="C7" s="12">
        <v>2</v>
      </c>
      <c r="D7" s="12">
        <v>1</v>
      </c>
      <c r="E7" s="12">
        <v>2</v>
      </c>
      <c r="F7" s="12">
        <v>1</v>
      </c>
      <c r="G7" s="12" t="s">
        <v>63</v>
      </c>
      <c r="H7" s="12">
        <f>G8</f>
        <v>1</v>
      </c>
      <c r="I7" s="12">
        <f>G9</f>
        <v>2</v>
      </c>
      <c r="J7" s="12">
        <f>G10</f>
        <v>1</v>
      </c>
      <c r="K7" s="12">
        <f>G11</f>
        <v>2</v>
      </c>
      <c r="L7" s="12">
        <f>G12</f>
        <v>1</v>
      </c>
      <c r="M7" s="12">
        <f>G13</f>
        <v>2</v>
      </c>
      <c r="N7" s="12">
        <f>G14</f>
        <v>2</v>
      </c>
      <c r="O7" s="12">
        <f>G15</f>
        <v>2</v>
      </c>
      <c r="P7" s="12">
        <f>G16</f>
        <v>2</v>
      </c>
      <c r="Q7" s="12">
        <f>G17</f>
        <v>2</v>
      </c>
      <c r="R7" s="12">
        <f>G18</f>
        <v>2</v>
      </c>
      <c r="S7" s="66">
        <f>G19</f>
        <v>2</v>
      </c>
    </row>
    <row r="8" spans="1:19" ht="12.75" customHeight="1" x14ac:dyDescent="0.25">
      <c r="A8" s="11" t="s">
        <v>191</v>
      </c>
      <c r="B8" s="12">
        <v>2</v>
      </c>
      <c r="C8" s="12">
        <v>1</v>
      </c>
      <c r="D8" s="12">
        <v>1</v>
      </c>
      <c r="E8" s="12">
        <v>2</v>
      </c>
      <c r="F8" s="12">
        <v>1</v>
      </c>
      <c r="G8" s="12">
        <v>1</v>
      </c>
      <c r="H8" s="12" t="s">
        <v>63</v>
      </c>
      <c r="I8" s="12">
        <f>H9</f>
        <v>2</v>
      </c>
      <c r="J8" s="12">
        <f>H10</f>
        <v>1</v>
      </c>
      <c r="K8" s="12">
        <f>H11</f>
        <v>2</v>
      </c>
      <c r="L8" s="12">
        <f>H12</f>
        <v>2</v>
      </c>
      <c r="M8" s="12">
        <f>H13</f>
        <v>2</v>
      </c>
      <c r="N8" s="12">
        <f>H14</f>
        <v>2</v>
      </c>
      <c r="O8" s="12">
        <f>H15</f>
        <v>2</v>
      </c>
      <c r="P8" s="12">
        <f>H16</f>
        <v>2</v>
      </c>
      <c r="Q8" s="12">
        <f>H17</f>
        <v>2</v>
      </c>
      <c r="R8" s="12">
        <f>H18</f>
        <v>2</v>
      </c>
      <c r="S8" s="66">
        <f>H19</f>
        <v>2</v>
      </c>
    </row>
    <row r="9" spans="1:19" ht="12.75" customHeight="1" x14ac:dyDescent="0.25">
      <c r="A9" s="11" t="s">
        <v>274</v>
      </c>
      <c r="B9" s="12">
        <v>2</v>
      </c>
      <c r="C9" s="12">
        <v>1</v>
      </c>
      <c r="D9" s="12">
        <v>1</v>
      </c>
      <c r="E9" s="12">
        <v>2</v>
      </c>
      <c r="F9" s="12">
        <v>2</v>
      </c>
      <c r="G9" s="12">
        <v>2</v>
      </c>
      <c r="H9" s="12">
        <v>2</v>
      </c>
      <c r="I9" s="12" t="s">
        <v>63</v>
      </c>
      <c r="J9" s="12">
        <f>I10</f>
        <v>1</v>
      </c>
      <c r="K9" s="12">
        <f>I11</f>
        <v>2</v>
      </c>
      <c r="L9" s="12">
        <f>I12</f>
        <v>2</v>
      </c>
      <c r="M9" s="12">
        <f>I13</f>
        <v>2</v>
      </c>
      <c r="N9" s="12">
        <f>I14</f>
        <v>2</v>
      </c>
      <c r="O9" s="12">
        <f>I15</f>
        <v>2</v>
      </c>
      <c r="P9" s="12">
        <f>I16</f>
        <v>1</v>
      </c>
      <c r="Q9" s="12">
        <f>I17</f>
        <v>2</v>
      </c>
      <c r="R9" s="12">
        <f>I18</f>
        <v>2</v>
      </c>
      <c r="S9" s="66">
        <f>I19</f>
        <v>1</v>
      </c>
    </row>
    <row r="10" spans="1:19" ht="12.75" customHeight="1" x14ac:dyDescent="0.25">
      <c r="A10" s="11" t="s">
        <v>230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 t="s">
        <v>63</v>
      </c>
      <c r="K10" s="12">
        <f>J11</f>
        <v>1</v>
      </c>
      <c r="L10" s="12">
        <f>J12</f>
        <v>1</v>
      </c>
      <c r="M10" s="12">
        <f>J13</f>
        <v>1</v>
      </c>
      <c r="N10" s="12">
        <f>J14</f>
        <v>2</v>
      </c>
      <c r="O10" s="12">
        <f>J15</f>
        <v>1</v>
      </c>
      <c r="P10" s="12">
        <f>J16</f>
        <v>2</v>
      </c>
      <c r="Q10" s="12">
        <f>J17</f>
        <v>1</v>
      </c>
      <c r="R10" s="12">
        <f>J18</f>
        <v>1</v>
      </c>
      <c r="S10" s="66">
        <f>J19</f>
        <v>1</v>
      </c>
    </row>
    <row r="11" spans="1:19" ht="12.75" customHeight="1" x14ac:dyDescent="0.25">
      <c r="A11" s="11" t="s">
        <v>21</v>
      </c>
      <c r="B11" s="12">
        <v>2</v>
      </c>
      <c r="C11" s="12">
        <v>2</v>
      </c>
      <c r="D11" s="12">
        <v>1</v>
      </c>
      <c r="E11" s="12">
        <v>2</v>
      </c>
      <c r="F11" s="12">
        <v>2</v>
      </c>
      <c r="G11" s="12">
        <v>2</v>
      </c>
      <c r="H11" s="12">
        <v>2</v>
      </c>
      <c r="I11" s="12">
        <v>2</v>
      </c>
      <c r="J11" s="12">
        <v>1</v>
      </c>
      <c r="K11" s="12" t="s">
        <v>63</v>
      </c>
      <c r="L11" s="12">
        <f>K12</f>
        <v>2</v>
      </c>
      <c r="M11" s="12">
        <f>K13</f>
        <v>1</v>
      </c>
      <c r="N11" s="12">
        <f>K14</f>
        <v>2</v>
      </c>
      <c r="O11" s="12">
        <f>K15</f>
        <v>2</v>
      </c>
      <c r="P11" s="12">
        <f>K16</f>
        <v>2</v>
      </c>
      <c r="Q11" s="12">
        <f>K17</f>
        <v>2</v>
      </c>
      <c r="R11" s="12">
        <f>K18</f>
        <v>1</v>
      </c>
      <c r="S11" s="66">
        <f>K19</f>
        <v>2</v>
      </c>
    </row>
    <row r="12" spans="1:19" ht="12.75" customHeight="1" x14ac:dyDescent="0.25">
      <c r="A12" s="11" t="s">
        <v>22</v>
      </c>
      <c r="B12" s="12">
        <v>2</v>
      </c>
      <c r="C12" s="12">
        <v>2</v>
      </c>
      <c r="D12" s="12">
        <v>1</v>
      </c>
      <c r="E12" s="12">
        <v>2</v>
      </c>
      <c r="F12" s="12">
        <v>2</v>
      </c>
      <c r="G12" s="12">
        <v>1</v>
      </c>
      <c r="H12" s="12">
        <v>2</v>
      </c>
      <c r="I12" s="12">
        <v>2</v>
      </c>
      <c r="J12" s="12">
        <v>1</v>
      </c>
      <c r="K12" s="12">
        <v>2</v>
      </c>
      <c r="L12" s="12" t="s">
        <v>63</v>
      </c>
      <c r="M12" s="12">
        <f>L13</f>
        <v>2</v>
      </c>
      <c r="N12" s="12">
        <f>L14</f>
        <v>2</v>
      </c>
      <c r="O12" s="12">
        <f>L15</f>
        <v>2</v>
      </c>
      <c r="P12" s="12">
        <f>L16</f>
        <v>2</v>
      </c>
      <c r="Q12" s="12">
        <f>L17</f>
        <v>2</v>
      </c>
      <c r="R12" s="12">
        <f>L18</f>
        <v>2</v>
      </c>
      <c r="S12" s="66">
        <f>L19</f>
        <v>2</v>
      </c>
    </row>
    <row r="13" spans="1:19" ht="12.75" customHeight="1" x14ac:dyDescent="0.25">
      <c r="A13" s="11" t="s">
        <v>61</v>
      </c>
      <c r="B13" s="12">
        <v>2</v>
      </c>
      <c r="C13" s="12">
        <v>2</v>
      </c>
      <c r="D13" s="12">
        <v>1</v>
      </c>
      <c r="E13" s="12">
        <v>2</v>
      </c>
      <c r="F13" s="12">
        <v>2</v>
      </c>
      <c r="G13" s="12">
        <v>2</v>
      </c>
      <c r="H13" s="12">
        <v>2</v>
      </c>
      <c r="I13" s="12">
        <v>2</v>
      </c>
      <c r="J13" s="12">
        <v>1</v>
      </c>
      <c r="K13" s="12">
        <v>1</v>
      </c>
      <c r="L13" s="12">
        <v>2</v>
      </c>
      <c r="M13" s="12" t="s">
        <v>63</v>
      </c>
      <c r="N13" s="12">
        <f>M14</f>
        <v>2</v>
      </c>
      <c r="O13" s="12">
        <f>M15</f>
        <v>2</v>
      </c>
      <c r="P13" s="12">
        <f>M16</f>
        <v>2</v>
      </c>
      <c r="Q13" s="12">
        <f>M17</f>
        <v>2</v>
      </c>
      <c r="R13" s="12">
        <f>M18</f>
        <v>1</v>
      </c>
      <c r="S13" s="66">
        <f>M19</f>
        <v>2</v>
      </c>
    </row>
    <row r="14" spans="1:19" ht="12.75" customHeight="1" x14ac:dyDescent="0.25">
      <c r="A14" s="11" t="s">
        <v>167</v>
      </c>
      <c r="B14" s="12">
        <v>2</v>
      </c>
      <c r="C14" s="12">
        <v>2</v>
      </c>
      <c r="D14" s="12">
        <v>1</v>
      </c>
      <c r="E14" s="12">
        <v>2</v>
      </c>
      <c r="F14" s="12">
        <v>2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2</v>
      </c>
      <c r="M14" s="12">
        <v>2</v>
      </c>
      <c r="N14" s="12" t="s">
        <v>63</v>
      </c>
      <c r="O14" s="12">
        <f>N15</f>
        <v>2</v>
      </c>
      <c r="P14" s="12">
        <f>N16</f>
        <v>2</v>
      </c>
      <c r="Q14" s="12">
        <f>N17</f>
        <v>2</v>
      </c>
      <c r="R14" s="12">
        <f>N18</f>
        <v>2</v>
      </c>
      <c r="S14" s="66">
        <f>N19</f>
        <v>2</v>
      </c>
    </row>
    <row r="15" spans="1:19" ht="12.75" customHeight="1" x14ac:dyDescent="0.25">
      <c r="A15" s="11" t="s">
        <v>24</v>
      </c>
      <c r="B15" s="12">
        <v>2</v>
      </c>
      <c r="C15" s="12">
        <v>2</v>
      </c>
      <c r="D15" s="12">
        <v>1</v>
      </c>
      <c r="E15" s="12">
        <v>2</v>
      </c>
      <c r="F15" s="12">
        <v>2</v>
      </c>
      <c r="G15" s="12">
        <v>2</v>
      </c>
      <c r="H15" s="12">
        <v>2</v>
      </c>
      <c r="I15" s="12">
        <v>2</v>
      </c>
      <c r="J15" s="12">
        <v>1</v>
      </c>
      <c r="K15" s="12">
        <v>2</v>
      </c>
      <c r="L15" s="12">
        <v>2</v>
      </c>
      <c r="M15" s="12">
        <v>2</v>
      </c>
      <c r="N15" s="12">
        <v>2</v>
      </c>
      <c r="O15" s="12" t="s">
        <v>63</v>
      </c>
      <c r="P15" s="12">
        <f>O16</f>
        <v>1</v>
      </c>
      <c r="Q15" s="12">
        <f>O17</f>
        <v>2</v>
      </c>
      <c r="R15" s="12">
        <f>O18</f>
        <v>2</v>
      </c>
      <c r="S15" s="66">
        <f>O19</f>
        <v>1</v>
      </c>
    </row>
    <row r="16" spans="1:19" ht="12.75" customHeight="1" x14ac:dyDescent="0.25">
      <c r="A16" s="11" t="s">
        <v>55</v>
      </c>
      <c r="B16" s="12">
        <v>2</v>
      </c>
      <c r="C16" s="12">
        <v>2</v>
      </c>
      <c r="D16" s="12">
        <v>1</v>
      </c>
      <c r="E16" s="12">
        <v>2</v>
      </c>
      <c r="F16" s="12">
        <v>2</v>
      </c>
      <c r="G16" s="12">
        <v>2</v>
      </c>
      <c r="H16" s="12">
        <v>2</v>
      </c>
      <c r="I16" s="12">
        <v>1</v>
      </c>
      <c r="J16" s="12">
        <v>2</v>
      </c>
      <c r="K16" s="12">
        <v>2</v>
      </c>
      <c r="L16" s="12">
        <v>2</v>
      </c>
      <c r="M16" s="12">
        <v>2</v>
      </c>
      <c r="N16" s="12">
        <v>2</v>
      </c>
      <c r="O16" s="12">
        <v>1</v>
      </c>
      <c r="P16" s="12" t="s">
        <v>63</v>
      </c>
      <c r="Q16" s="12">
        <f>P17</f>
        <v>2</v>
      </c>
      <c r="R16" s="12">
        <f>P18</f>
        <v>2</v>
      </c>
      <c r="S16" s="66">
        <f>P19</f>
        <v>1</v>
      </c>
    </row>
    <row r="17" spans="1:19" ht="12.75" customHeight="1" x14ac:dyDescent="0.25">
      <c r="A17" s="11" t="s">
        <v>26</v>
      </c>
      <c r="B17" s="12">
        <v>1</v>
      </c>
      <c r="C17" s="12">
        <v>1</v>
      </c>
      <c r="D17" s="12">
        <v>1</v>
      </c>
      <c r="E17" s="12">
        <v>1</v>
      </c>
      <c r="F17" s="12">
        <v>2</v>
      </c>
      <c r="G17" s="12">
        <v>2</v>
      </c>
      <c r="H17" s="12">
        <v>2</v>
      </c>
      <c r="I17" s="12">
        <v>2</v>
      </c>
      <c r="J17" s="12">
        <v>1</v>
      </c>
      <c r="K17" s="12">
        <v>2</v>
      </c>
      <c r="L17" s="12">
        <v>2</v>
      </c>
      <c r="M17" s="12">
        <v>2</v>
      </c>
      <c r="N17" s="12">
        <v>2</v>
      </c>
      <c r="O17" s="12">
        <v>2</v>
      </c>
      <c r="P17" s="12">
        <v>2</v>
      </c>
      <c r="Q17" s="12" t="s">
        <v>63</v>
      </c>
      <c r="R17" s="12">
        <f>Q18</f>
        <v>2</v>
      </c>
      <c r="S17" s="66">
        <f>Q19</f>
        <v>2</v>
      </c>
    </row>
    <row r="18" spans="1:19" ht="12.75" customHeight="1" x14ac:dyDescent="0.25">
      <c r="A18" s="11" t="s">
        <v>27</v>
      </c>
      <c r="B18" s="12">
        <v>2</v>
      </c>
      <c r="C18" s="12">
        <v>2</v>
      </c>
      <c r="D18" s="12">
        <v>1</v>
      </c>
      <c r="E18" s="12">
        <v>2</v>
      </c>
      <c r="F18" s="12">
        <v>2</v>
      </c>
      <c r="G18" s="12">
        <v>2</v>
      </c>
      <c r="H18" s="12">
        <v>2</v>
      </c>
      <c r="I18" s="12">
        <v>2</v>
      </c>
      <c r="J18" s="12">
        <v>1</v>
      </c>
      <c r="K18" s="12">
        <v>1</v>
      </c>
      <c r="L18" s="12">
        <v>2</v>
      </c>
      <c r="M18" s="12">
        <v>1</v>
      </c>
      <c r="N18" s="12">
        <v>2</v>
      </c>
      <c r="O18" s="12">
        <v>2</v>
      </c>
      <c r="P18" s="12">
        <v>2</v>
      </c>
      <c r="Q18" s="12">
        <v>2</v>
      </c>
      <c r="R18" s="12" t="s">
        <v>63</v>
      </c>
      <c r="S18" s="66">
        <f>R19</f>
        <v>2</v>
      </c>
    </row>
    <row r="19" spans="1:19" s="13" customFormat="1" ht="12.75" customHeight="1" thickBot="1" x14ac:dyDescent="0.3">
      <c r="A19" s="65" t="s">
        <v>30</v>
      </c>
      <c r="B19" s="64">
        <v>2</v>
      </c>
      <c r="C19" s="64">
        <v>2</v>
      </c>
      <c r="D19" s="64">
        <v>1</v>
      </c>
      <c r="E19" s="64">
        <v>2</v>
      </c>
      <c r="F19" s="64">
        <v>2</v>
      </c>
      <c r="G19" s="64">
        <v>2</v>
      </c>
      <c r="H19" s="64">
        <v>2</v>
      </c>
      <c r="I19" s="64">
        <v>1</v>
      </c>
      <c r="J19" s="64">
        <v>1</v>
      </c>
      <c r="K19" s="64">
        <v>2</v>
      </c>
      <c r="L19" s="64">
        <v>2</v>
      </c>
      <c r="M19" s="64">
        <v>2</v>
      </c>
      <c r="N19" s="64">
        <v>2</v>
      </c>
      <c r="O19" s="64">
        <v>1</v>
      </c>
      <c r="P19" s="64">
        <v>1</v>
      </c>
      <c r="Q19" s="64">
        <v>2</v>
      </c>
      <c r="R19" s="64">
        <v>2</v>
      </c>
      <c r="S19" s="63" t="s">
        <v>63</v>
      </c>
    </row>
    <row r="20" spans="1:19" ht="12.75" customHeight="1" x14ac:dyDescent="0.25"/>
    <row r="21" spans="1:19" ht="12.75" customHeight="1" x14ac:dyDescent="0.25"/>
    <row r="22" spans="1:19" ht="12.75" customHeight="1" x14ac:dyDescent="0.25"/>
    <row r="23" spans="1:19" ht="12.75" customHeight="1" x14ac:dyDescent="0.25"/>
    <row r="24" spans="1:19" ht="12.75" customHeight="1" x14ac:dyDescent="0.25"/>
    <row r="25" spans="1:19" ht="12.75" customHeight="1" x14ac:dyDescent="0.25"/>
    <row r="26" spans="1:19" ht="12.75" customHeight="1" x14ac:dyDescent="0.25"/>
    <row r="27" spans="1:19" ht="12.75" customHeight="1" x14ac:dyDescent="0.25"/>
    <row r="28" spans="1:19" ht="12.75" customHeight="1" x14ac:dyDescent="0.25"/>
    <row r="29" spans="1:19" ht="12.75" customHeight="1" x14ac:dyDescent="0.25"/>
    <row r="30" spans="1:19" ht="12.75" customHeight="1" x14ac:dyDescent="0.25"/>
    <row r="31" spans="1:19" ht="12.75" customHeight="1" x14ac:dyDescent="0.25"/>
    <row r="32" spans="1:1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</sheetData>
  <printOptions horizontalCentered="1" verticalCentered="1"/>
  <pageMargins left="0.19685039370078741" right="0.19685039370078741" top="0.19685039370078741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zoomScale="130" zoomScaleNormal="130" zoomScaleSheetLayoutView="100" workbookViewId="0">
      <pane xSplit="6" ySplit="3" topLeftCell="G4" activePane="bottomRight" state="frozen"/>
      <selection sqref="A1:N1"/>
      <selection pane="topRight" sqref="A1:N1"/>
      <selection pane="bottomLeft" sqref="A1:N1"/>
      <selection pane="bottomRight" sqref="A1:F1"/>
    </sheetView>
  </sheetViews>
  <sheetFormatPr defaultColWidth="9.109375" defaultRowHeight="13.2" x14ac:dyDescent="0.25"/>
  <cols>
    <col min="1" max="1" width="15.6640625" style="1" customWidth="1"/>
    <col min="2" max="3" width="15.6640625" style="5" customWidth="1"/>
    <col min="4" max="6" width="15.6640625" style="1" customWidth="1"/>
    <col min="7" max="16384" width="9.109375" style="1"/>
  </cols>
  <sheetData>
    <row r="1" spans="1:6" ht="24.9" customHeight="1" thickBot="1" x14ac:dyDescent="0.3">
      <c r="A1" s="174" t="s">
        <v>254</v>
      </c>
      <c r="B1" s="174"/>
      <c r="C1" s="174"/>
      <c r="D1" s="174"/>
      <c r="E1" s="174"/>
      <c r="F1" s="174"/>
    </row>
    <row r="2" spans="1:6" x14ac:dyDescent="0.25">
      <c r="A2" s="175" t="s">
        <v>0</v>
      </c>
      <c r="B2" s="182" t="s">
        <v>31</v>
      </c>
      <c r="C2" s="183"/>
      <c r="D2" s="183"/>
      <c r="E2" s="183"/>
      <c r="F2" s="184"/>
    </row>
    <row r="3" spans="1:6" ht="13.8" thickBot="1" x14ac:dyDescent="0.3">
      <c r="A3" s="176"/>
      <c r="B3" s="27" t="s">
        <v>130</v>
      </c>
      <c r="C3" s="27" t="s">
        <v>70</v>
      </c>
      <c r="D3" s="27" t="s">
        <v>71</v>
      </c>
      <c r="E3" s="27" t="s">
        <v>72</v>
      </c>
      <c r="F3" s="28" t="s">
        <v>253</v>
      </c>
    </row>
    <row r="4" spans="1:6" ht="12.75" customHeight="1" x14ac:dyDescent="0.25">
      <c r="A4" s="177" t="s">
        <v>231</v>
      </c>
      <c r="B4" s="177"/>
      <c r="C4" s="177"/>
      <c r="D4" s="177"/>
      <c r="E4" s="177"/>
      <c r="F4" s="177"/>
    </row>
    <row r="5" spans="1:6" x14ac:dyDescent="0.25">
      <c r="A5" s="6" t="s">
        <v>1</v>
      </c>
      <c r="B5" s="44">
        <v>2600</v>
      </c>
      <c r="C5" s="44">
        <v>2600</v>
      </c>
      <c r="D5" s="44">
        <v>3899.9999999999991</v>
      </c>
      <c r="E5" s="44">
        <v>6499.9999999999991</v>
      </c>
      <c r="F5" s="44">
        <v>10000</v>
      </c>
    </row>
    <row r="6" spans="1:6" x14ac:dyDescent="0.25">
      <c r="A6" s="21" t="s">
        <v>2</v>
      </c>
      <c r="B6" s="22">
        <v>3100</v>
      </c>
      <c r="C6" s="22">
        <v>3100</v>
      </c>
      <c r="D6" s="22">
        <v>4399.9999999999991</v>
      </c>
      <c r="E6" s="22">
        <v>7499.9999999999991</v>
      </c>
      <c r="F6" s="22">
        <v>11500</v>
      </c>
    </row>
    <row r="7" spans="1:6" x14ac:dyDescent="0.25">
      <c r="A7" s="6" t="s">
        <v>3</v>
      </c>
      <c r="B7" s="44">
        <v>3600</v>
      </c>
      <c r="C7" s="44">
        <v>3600</v>
      </c>
      <c r="D7" s="44">
        <v>4899.9999999999991</v>
      </c>
      <c r="E7" s="44">
        <v>8500</v>
      </c>
      <c r="F7" s="44">
        <v>13000</v>
      </c>
    </row>
    <row r="8" spans="1:6" x14ac:dyDescent="0.25">
      <c r="A8" s="21" t="s">
        <v>4</v>
      </c>
      <c r="B8" s="22">
        <v>3999.9999999999995</v>
      </c>
      <c r="C8" s="22">
        <v>3999.9999999999995</v>
      </c>
      <c r="D8" s="22">
        <v>5399.9999999999991</v>
      </c>
      <c r="E8" s="22">
        <v>9500</v>
      </c>
      <c r="F8" s="22">
        <v>14500</v>
      </c>
    </row>
    <row r="9" spans="1:6" x14ac:dyDescent="0.25">
      <c r="A9" s="6" t="s">
        <v>5</v>
      </c>
      <c r="B9" s="44">
        <v>4500</v>
      </c>
      <c r="C9" s="44">
        <v>4500</v>
      </c>
      <c r="D9" s="44">
        <v>5899.9999999999991</v>
      </c>
      <c r="E9" s="44">
        <v>10500</v>
      </c>
      <c r="F9" s="44">
        <v>16000</v>
      </c>
    </row>
    <row r="10" spans="1:6" ht="12.75" customHeight="1" x14ac:dyDescent="0.25">
      <c r="A10" s="21" t="s">
        <v>6</v>
      </c>
      <c r="B10" s="22">
        <v>5000</v>
      </c>
      <c r="C10" s="22">
        <v>5000</v>
      </c>
      <c r="D10" s="22">
        <v>6399.9999999999991</v>
      </c>
      <c r="E10" s="22">
        <v>11500</v>
      </c>
      <c r="F10" s="22">
        <v>17500</v>
      </c>
    </row>
    <row r="11" spans="1:6" ht="12.75" customHeight="1" x14ac:dyDescent="0.25">
      <c r="A11" s="6" t="s">
        <v>7</v>
      </c>
      <c r="B11" s="44">
        <v>5500</v>
      </c>
      <c r="C11" s="44">
        <v>5500</v>
      </c>
      <c r="D11" s="44">
        <v>6899.9999999999991</v>
      </c>
      <c r="E11" s="44">
        <v>12500</v>
      </c>
      <c r="F11" s="44">
        <v>19000</v>
      </c>
    </row>
    <row r="12" spans="1:6" x14ac:dyDescent="0.25">
      <c r="A12" s="21" t="s">
        <v>8</v>
      </c>
      <c r="B12" s="22">
        <v>6000</v>
      </c>
      <c r="C12" s="22">
        <v>6000</v>
      </c>
      <c r="D12" s="22">
        <v>7399.9999999999991</v>
      </c>
      <c r="E12" s="22">
        <v>13500</v>
      </c>
      <c r="F12" s="22">
        <v>20500</v>
      </c>
    </row>
    <row r="13" spans="1:6" x14ac:dyDescent="0.25">
      <c r="A13" s="6" t="s">
        <v>9</v>
      </c>
      <c r="B13" s="44">
        <v>6500</v>
      </c>
      <c r="C13" s="44">
        <v>6500</v>
      </c>
      <c r="D13" s="44">
        <v>7899.9999999999991</v>
      </c>
      <c r="E13" s="44">
        <v>14500</v>
      </c>
      <c r="F13" s="44">
        <v>22000</v>
      </c>
    </row>
    <row r="14" spans="1:6" x14ac:dyDescent="0.25">
      <c r="A14" s="21" t="s">
        <v>10</v>
      </c>
      <c r="B14" s="22">
        <v>7000</v>
      </c>
      <c r="C14" s="22">
        <v>7000</v>
      </c>
      <c r="D14" s="22">
        <v>8400</v>
      </c>
      <c r="E14" s="22">
        <v>15500</v>
      </c>
      <c r="F14" s="22">
        <v>23500</v>
      </c>
    </row>
    <row r="15" spans="1:6" x14ac:dyDescent="0.25">
      <c r="A15" s="26" t="s">
        <v>238</v>
      </c>
      <c r="B15" s="45">
        <v>1200</v>
      </c>
      <c r="C15" s="45">
        <v>1400</v>
      </c>
      <c r="D15" s="44">
        <v>1800.0000000000002</v>
      </c>
      <c r="E15" s="45">
        <v>2400</v>
      </c>
      <c r="F15" s="45">
        <v>3000</v>
      </c>
    </row>
    <row r="16" spans="1:6" ht="12.75" customHeight="1" x14ac:dyDescent="0.25">
      <c r="A16" s="178" t="s">
        <v>232</v>
      </c>
      <c r="B16" s="178"/>
      <c r="C16" s="178"/>
      <c r="D16" s="178"/>
      <c r="E16" s="178"/>
      <c r="F16" s="178"/>
    </row>
    <row r="17" spans="1:6" x14ac:dyDescent="0.25">
      <c r="A17" s="25" t="s">
        <v>1</v>
      </c>
      <c r="B17" s="43">
        <v>2100</v>
      </c>
      <c r="C17" s="43">
        <v>2100</v>
      </c>
      <c r="D17" s="43">
        <v>3499.9999999999995</v>
      </c>
      <c r="E17" s="43">
        <v>5500</v>
      </c>
      <c r="F17" s="185" t="s">
        <v>235</v>
      </c>
    </row>
    <row r="18" spans="1:6" x14ac:dyDescent="0.25">
      <c r="A18" s="21" t="s">
        <v>2</v>
      </c>
      <c r="B18" s="22">
        <v>2750</v>
      </c>
      <c r="C18" s="22">
        <v>2750</v>
      </c>
      <c r="D18" s="22">
        <v>3999.9999999999995</v>
      </c>
      <c r="E18" s="22">
        <v>6499.9999999999991</v>
      </c>
      <c r="F18" s="186"/>
    </row>
    <row r="19" spans="1:6" x14ac:dyDescent="0.25">
      <c r="A19" s="6" t="s">
        <v>4</v>
      </c>
      <c r="B19" s="44">
        <v>3499.9999999999995</v>
      </c>
      <c r="C19" s="44">
        <v>3499.9999999999995</v>
      </c>
      <c r="D19" s="44">
        <v>4900</v>
      </c>
      <c r="E19" s="44">
        <v>8500</v>
      </c>
      <c r="F19" s="186"/>
    </row>
    <row r="20" spans="1:6" x14ac:dyDescent="0.25">
      <c r="A20" s="21" t="s">
        <v>6</v>
      </c>
      <c r="B20" s="22">
        <v>4300</v>
      </c>
      <c r="C20" s="22">
        <v>4300</v>
      </c>
      <c r="D20" s="22">
        <v>5800</v>
      </c>
      <c r="E20" s="22">
        <v>10000</v>
      </c>
      <c r="F20" s="186"/>
    </row>
    <row r="21" spans="1:6" x14ac:dyDescent="0.25">
      <c r="A21" s="6" t="s">
        <v>8</v>
      </c>
      <c r="B21" s="44">
        <v>5100</v>
      </c>
      <c r="C21" s="44">
        <v>5100</v>
      </c>
      <c r="D21" s="44">
        <v>6700</v>
      </c>
      <c r="E21" s="44">
        <v>11500</v>
      </c>
      <c r="F21" s="186"/>
    </row>
    <row r="22" spans="1:6" ht="12.75" customHeight="1" x14ac:dyDescent="0.25">
      <c r="A22" s="21" t="s">
        <v>10</v>
      </c>
      <c r="B22" s="22">
        <v>5900</v>
      </c>
      <c r="C22" s="22">
        <v>5900</v>
      </c>
      <c r="D22" s="22">
        <v>7600</v>
      </c>
      <c r="E22" s="22">
        <v>13500</v>
      </c>
      <c r="F22" s="186"/>
    </row>
    <row r="23" spans="1:6" x14ac:dyDescent="0.25">
      <c r="A23" s="26" t="s">
        <v>238</v>
      </c>
      <c r="B23" s="45">
        <v>1100</v>
      </c>
      <c r="C23" s="45">
        <v>1350</v>
      </c>
      <c r="D23" s="45">
        <v>1600.0000000000002</v>
      </c>
      <c r="E23" s="45">
        <v>2200</v>
      </c>
      <c r="F23" s="187"/>
    </row>
    <row r="24" spans="1:6" ht="12.75" customHeight="1" x14ac:dyDescent="0.25">
      <c r="A24" s="178" t="s">
        <v>233</v>
      </c>
      <c r="B24" s="178"/>
      <c r="C24" s="178"/>
      <c r="D24" s="178"/>
      <c r="E24" s="178"/>
      <c r="F24" s="178"/>
    </row>
    <row r="25" spans="1:6" x14ac:dyDescent="0.25">
      <c r="A25" s="25" t="s">
        <v>1</v>
      </c>
      <c r="B25" s="43">
        <v>1599.9999999999998</v>
      </c>
      <c r="C25" s="43">
        <v>1599.9999999999998</v>
      </c>
      <c r="D25" s="179" t="s">
        <v>235</v>
      </c>
      <c r="E25" s="179"/>
      <c r="F25" s="179"/>
    </row>
    <row r="26" spans="1:6" x14ac:dyDescent="0.25">
      <c r="A26" s="21" t="s">
        <v>2</v>
      </c>
      <c r="B26" s="22">
        <v>2400</v>
      </c>
      <c r="C26" s="22">
        <v>2400</v>
      </c>
      <c r="D26" s="180"/>
      <c r="E26" s="180"/>
      <c r="F26" s="180"/>
    </row>
    <row r="27" spans="1:6" x14ac:dyDescent="0.25">
      <c r="A27" s="6" t="s">
        <v>4</v>
      </c>
      <c r="B27" s="44">
        <v>2999.9999999999995</v>
      </c>
      <c r="C27" s="44">
        <v>2999.9999999999995</v>
      </c>
      <c r="D27" s="180"/>
      <c r="E27" s="180"/>
      <c r="F27" s="180"/>
    </row>
    <row r="28" spans="1:6" x14ac:dyDescent="0.25">
      <c r="A28" s="21" t="s">
        <v>6</v>
      </c>
      <c r="B28" s="22">
        <v>3599.9999999999995</v>
      </c>
      <c r="C28" s="22">
        <v>3599.9999999999995</v>
      </c>
      <c r="D28" s="180"/>
      <c r="E28" s="180"/>
      <c r="F28" s="180"/>
    </row>
    <row r="29" spans="1:6" x14ac:dyDescent="0.25">
      <c r="A29" s="6" t="s">
        <v>8</v>
      </c>
      <c r="B29" s="44">
        <v>4200</v>
      </c>
      <c r="C29" s="44">
        <v>4200</v>
      </c>
      <c r="D29" s="180"/>
      <c r="E29" s="180"/>
      <c r="F29" s="180"/>
    </row>
    <row r="30" spans="1:6" ht="12.75" customHeight="1" x14ac:dyDescent="0.25">
      <c r="A30" s="21" t="s">
        <v>10</v>
      </c>
      <c r="B30" s="22">
        <v>4800</v>
      </c>
      <c r="C30" s="22">
        <v>4800</v>
      </c>
      <c r="D30" s="180"/>
      <c r="E30" s="180"/>
      <c r="F30" s="180"/>
    </row>
    <row r="31" spans="1:6" x14ac:dyDescent="0.25">
      <c r="A31" s="26" t="s">
        <v>238</v>
      </c>
      <c r="B31" s="45">
        <v>1000</v>
      </c>
      <c r="C31" s="45">
        <v>1300</v>
      </c>
      <c r="D31" s="181"/>
      <c r="E31" s="181"/>
      <c r="F31" s="181"/>
    </row>
    <row r="32" spans="1:6" ht="24.9" customHeight="1" x14ac:dyDescent="0.25">
      <c r="A32" s="173" t="s">
        <v>234</v>
      </c>
      <c r="B32" s="173"/>
      <c r="C32" s="173"/>
      <c r="D32" s="173"/>
      <c r="E32" s="173"/>
      <c r="F32" s="173"/>
    </row>
    <row r="33" spans="1:6" ht="54.9" customHeight="1" x14ac:dyDescent="0.25">
      <c r="A33" s="173" t="s">
        <v>260</v>
      </c>
      <c r="B33" s="173"/>
      <c r="C33" s="173"/>
      <c r="D33" s="173"/>
      <c r="E33" s="173"/>
      <c r="F33" s="173"/>
    </row>
    <row r="34" spans="1:6" ht="25.5" customHeight="1" x14ac:dyDescent="0.25">
      <c r="A34" s="173" t="s">
        <v>224</v>
      </c>
      <c r="B34" s="173"/>
      <c r="C34" s="173"/>
      <c r="D34" s="173"/>
      <c r="E34" s="173"/>
      <c r="F34" s="173"/>
    </row>
    <row r="35" spans="1:6" ht="40.5" customHeight="1" x14ac:dyDescent="0.25">
      <c r="A35" s="173" t="s">
        <v>821</v>
      </c>
      <c r="B35" s="173"/>
      <c r="C35" s="173"/>
      <c r="D35" s="173"/>
      <c r="E35" s="173"/>
      <c r="F35" s="173"/>
    </row>
    <row r="37" spans="1:6" ht="12.75" customHeight="1" x14ac:dyDescent="0.25">
      <c r="A37" s="173" t="s">
        <v>261</v>
      </c>
      <c r="B37" s="173"/>
      <c r="C37" s="173"/>
      <c r="D37" s="173"/>
      <c r="E37" s="173"/>
      <c r="F37" s="173"/>
    </row>
  </sheetData>
  <mergeCells count="13">
    <mergeCell ref="A37:F37"/>
    <mergeCell ref="A1:F1"/>
    <mergeCell ref="A2:A3"/>
    <mergeCell ref="A4:F4"/>
    <mergeCell ref="A16:F16"/>
    <mergeCell ref="A35:F35"/>
    <mergeCell ref="A24:F24"/>
    <mergeCell ref="D25:F31"/>
    <mergeCell ref="A32:F32"/>
    <mergeCell ref="A33:F33"/>
    <mergeCell ref="A34:F34"/>
    <mergeCell ref="B2:F2"/>
    <mergeCell ref="F17:F23"/>
  </mergeCells>
  <printOptions horizontalCentered="1" verticalCentered="1"/>
  <pageMargins left="0.59055118110236227" right="0.59055118110236227" top="1.5748031496062993" bottom="0.59055118110236227" header="0" footer="0"/>
  <pageSetup paperSize="9" scale="9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"/>
  <sheetViews>
    <sheetView zoomScale="130" zoomScaleNormal="130" zoomScaleSheetLayoutView="100" workbookViewId="0">
      <selection activeCell="A12" sqref="A12:D12"/>
    </sheetView>
  </sheetViews>
  <sheetFormatPr defaultRowHeight="13.2" x14ac:dyDescent="0.25"/>
  <cols>
    <col min="1" max="4" width="23.6640625" customWidth="1"/>
  </cols>
  <sheetData>
    <row r="1" spans="1:4" ht="24.9" customHeight="1" x14ac:dyDescent="0.25">
      <c r="A1" s="174" t="s">
        <v>248</v>
      </c>
      <c r="B1" s="174"/>
      <c r="C1" s="174"/>
      <c r="D1" s="174"/>
    </row>
    <row r="2" spans="1:4" x14ac:dyDescent="0.25">
      <c r="A2" s="4"/>
      <c r="B2" s="4"/>
      <c r="C2" s="4"/>
      <c r="D2" s="4"/>
    </row>
    <row r="3" spans="1:4" x14ac:dyDescent="0.25">
      <c r="A3" s="190" t="s">
        <v>126</v>
      </c>
      <c r="B3" s="192" t="s">
        <v>31</v>
      </c>
      <c r="C3" s="192"/>
      <c r="D3" s="193"/>
    </row>
    <row r="4" spans="1:4" x14ac:dyDescent="0.25">
      <c r="A4" s="191"/>
      <c r="B4" s="62" t="s">
        <v>278</v>
      </c>
      <c r="C4" s="62" t="s">
        <v>71</v>
      </c>
      <c r="D4" s="62" t="s">
        <v>72</v>
      </c>
    </row>
    <row r="5" spans="1:4" ht="12.75" customHeight="1" x14ac:dyDescent="0.25">
      <c r="A5" s="194" t="s">
        <v>242</v>
      </c>
      <c r="B5" s="194"/>
      <c r="C5" s="194"/>
      <c r="D5" s="194"/>
    </row>
    <row r="6" spans="1:4" ht="12.75" customHeight="1" x14ac:dyDescent="0.25">
      <c r="A6" s="2" t="s">
        <v>127</v>
      </c>
      <c r="B6" s="46">
        <v>7500</v>
      </c>
      <c r="C6" s="46">
        <v>11000</v>
      </c>
      <c r="D6" s="46">
        <v>18300</v>
      </c>
    </row>
    <row r="7" spans="1:4" ht="13.8" x14ac:dyDescent="0.25">
      <c r="A7" s="29" t="s">
        <v>194</v>
      </c>
      <c r="B7" s="30">
        <v>9000</v>
      </c>
      <c r="C7" s="30">
        <v>12400</v>
      </c>
      <c r="D7" s="30">
        <v>20100</v>
      </c>
    </row>
    <row r="8" spans="1:4" ht="13.8" x14ac:dyDescent="0.25">
      <c r="A8" s="2" t="s">
        <v>128</v>
      </c>
      <c r="B8" s="46">
        <v>11000</v>
      </c>
      <c r="C8" s="46">
        <v>14800</v>
      </c>
      <c r="D8" s="46">
        <v>23400</v>
      </c>
    </row>
    <row r="9" spans="1:4" ht="13.8" x14ac:dyDescent="0.25">
      <c r="A9" s="29" t="s">
        <v>129</v>
      </c>
      <c r="B9" s="30">
        <v>13000</v>
      </c>
      <c r="C9" s="30">
        <v>17600</v>
      </c>
      <c r="D9" s="29">
        <v>27100</v>
      </c>
    </row>
    <row r="10" spans="1:4" ht="13.8" x14ac:dyDescent="0.25">
      <c r="A10" s="150" t="s">
        <v>236</v>
      </c>
      <c r="B10" s="148">
        <v>1800</v>
      </c>
      <c r="C10" s="148">
        <v>3000</v>
      </c>
      <c r="D10" s="149">
        <v>3600</v>
      </c>
    </row>
    <row r="11" spans="1:4" ht="39.9" customHeight="1" x14ac:dyDescent="0.25">
      <c r="A11" s="173" t="s">
        <v>265</v>
      </c>
      <c r="B11" s="173"/>
      <c r="C11" s="173"/>
      <c r="D11" s="173"/>
    </row>
    <row r="12" spans="1:4" ht="12.75" customHeight="1" x14ac:dyDescent="0.25">
      <c r="A12" s="173" t="s">
        <v>266</v>
      </c>
      <c r="B12" s="173"/>
      <c r="C12" s="173"/>
      <c r="D12" s="173"/>
    </row>
    <row r="13" spans="1:4" ht="12.75" customHeight="1" x14ac:dyDescent="0.25">
      <c r="A13" s="2"/>
      <c r="B13" s="46"/>
      <c r="C13" s="46"/>
      <c r="D13" s="46"/>
    </row>
    <row r="14" spans="1:4" ht="24.9" customHeight="1" x14ac:dyDescent="0.25">
      <c r="A14" s="188" t="s">
        <v>267</v>
      </c>
      <c r="B14" s="188"/>
      <c r="C14" s="188"/>
      <c r="D14" s="188"/>
    </row>
    <row r="15" spans="1:4" x14ac:dyDescent="0.25">
      <c r="A15" s="6" t="s">
        <v>11</v>
      </c>
      <c r="B15" s="44">
        <v>36800</v>
      </c>
      <c r="C15" s="44">
        <v>41000</v>
      </c>
      <c r="D15" s="186" t="s">
        <v>268</v>
      </c>
    </row>
    <row r="16" spans="1:4" x14ac:dyDescent="0.25">
      <c r="A16" s="23" t="s">
        <v>12</v>
      </c>
      <c r="B16" s="31">
        <v>1800</v>
      </c>
      <c r="C16" s="31">
        <v>3000</v>
      </c>
      <c r="D16" s="187"/>
    </row>
    <row r="17" spans="1:4" ht="24.9" customHeight="1" x14ac:dyDescent="0.25">
      <c r="A17" s="188" t="s">
        <v>269</v>
      </c>
      <c r="B17" s="188"/>
      <c r="C17" s="188"/>
      <c r="D17" s="188"/>
    </row>
    <row r="18" spans="1:4" x14ac:dyDescent="0.25">
      <c r="A18" s="6" t="s">
        <v>1</v>
      </c>
      <c r="B18" s="44">
        <v>5400</v>
      </c>
      <c r="C18" s="44">
        <v>8400</v>
      </c>
      <c r="D18" s="185" t="s">
        <v>268</v>
      </c>
    </row>
    <row r="19" spans="1:4" x14ac:dyDescent="0.25">
      <c r="A19" s="21" t="s">
        <v>2</v>
      </c>
      <c r="B19" s="22">
        <v>7550</v>
      </c>
      <c r="C19" s="22">
        <v>10550</v>
      </c>
      <c r="D19" s="186"/>
    </row>
    <row r="20" spans="1:4" x14ac:dyDescent="0.25">
      <c r="A20" s="6" t="s">
        <v>3</v>
      </c>
      <c r="B20" s="44">
        <v>8500</v>
      </c>
      <c r="C20" s="44">
        <v>11400</v>
      </c>
      <c r="D20" s="186"/>
    </row>
    <row r="21" spans="1:4" x14ac:dyDescent="0.25">
      <c r="A21" s="21" t="s">
        <v>4</v>
      </c>
      <c r="B21" s="22">
        <v>9500</v>
      </c>
      <c r="C21" s="22">
        <v>12150</v>
      </c>
      <c r="D21" s="186"/>
    </row>
    <row r="22" spans="1:4" x14ac:dyDescent="0.25">
      <c r="A22" s="6" t="s">
        <v>5</v>
      </c>
      <c r="B22" s="44">
        <v>10450</v>
      </c>
      <c r="C22" s="44">
        <v>12850</v>
      </c>
      <c r="D22" s="186"/>
    </row>
    <row r="23" spans="1:4" x14ac:dyDescent="0.25">
      <c r="A23" s="21" t="s">
        <v>6</v>
      </c>
      <c r="B23" s="22">
        <v>11400</v>
      </c>
      <c r="C23" s="22">
        <v>13550</v>
      </c>
      <c r="D23" s="186"/>
    </row>
    <row r="24" spans="1:4" x14ac:dyDescent="0.25">
      <c r="A24" s="6" t="s">
        <v>7</v>
      </c>
      <c r="B24" s="44">
        <v>12350</v>
      </c>
      <c r="C24" s="44">
        <v>14650</v>
      </c>
      <c r="D24" s="186"/>
    </row>
    <row r="25" spans="1:4" x14ac:dyDescent="0.25">
      <c r="A25" s="21" t="s">
        <v>8</v>
      </c>
      <c r="B25" s="22">
        <v>13310</v>
      </c>
      <c r="C25" s="22">
        <v>15600</v>
      </c>
      <c r="D25" s="186"/>
    </row>
    <row r="26" spans="1:4" x14ac:dyDescent="0.25">
      <c r="A26" s="6" t="s">
        <v>9</v>
      </c>
      <c r="B26" s="44">
        <v>14290</v>
      </c>
      <c r="C26" s="44">
        <v>16600</v>
      </c>
      <c r="D26" s="186"/>
    </row>
    <row r="27" spans="1:4" x14ac:dyDescent="0.25">
      <c r="A27" s="21" t="s">
        <v>10</v>
      </c>
      <c r="B27" s="22">
        <v>15250</v>
      </c>
      <c r="C27" s="22">
        <v>17400</v>
      </c>
      <c r="D27" s="186"/>
    </row>
    <row r="28" spans="1:4" x14ac:dyDescent="0.25">
      <c r="A28" s="26" t="s">
        <v>12</v>
      </c>
      <c r="B28" s="45">
        <v>1800</v>
      </c>
      <c r="C28" s="45">
        <v>3000</v>
      </c>
      <c r="D28" s="187"/>
    </row>
    <row r="29" spans="1:4" ht="24.9" customHeight="1" x14ac:dyDescent="0.25">
      <c r="A29" s="189" t="s">
        <v>836</v>
      </c>
      <c r="B29" s="189"/>
      <c r="C29" s="189"/>
      <c r="D29" s="189"/>
    </row>
    <row r="30" spans="1:4" ht="24.9" customHeight="1" x14ac:dyDescent="0.25">
      <c r="A30" s="173" t="s">
        <v>169</v>
      </c>
      <c r="B30" s="173"/>
      <c r="C30" s="173"/>
      <c r="D30" s="173"/>
    </row>
    <row r="31" spans="1:4" ht="24.9" customHeight="1" x14ac:dyDescent="0.25">
      <c r="A31" s="173" t="s">
        <v>270</v>
      </c>
      <c r="B31" s="173"/>
      <c r="C31" s="173"/>
      <c r="D31" s="173"/>
    </row>
  </sheetData>
  <mergeCells count="13">
    <mergeCell ref="A12:D12"/>
    <mergeCell ref="A1:D1"/>
    <mergeCell ref="A3:A4"/>
    <mergeCell ref="B3:D3"/>
    <mergeCell ref="A5:D5"/>
    <mergeCell ref="A11:D11"/>
    <mergeCell ref="A31:D31"/>
    <mergeCell ref="A14:D14"/>
    <mergeCell ref="D15:D16"/>
    <mergeCell ref="A17:D17"/>
    <mergeCell ref="D18:D28"/>
    <mergeCell ref="A29:D29"/>
    <mergeCell ref="A30:D30"/>
  </mergeCells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H251"/>
  <sheetViews>
    <sheetView zoomScale="90" zoomScaleNormal="90" zoomScaleSheetLayoutView="100" workbookViewId="0">
      <pane ySplit="2" topLeftCell="A42" activePane="bottomLeft" state="frozen"/>
      <selection sqref="A1:D1"/>
      <selection pane="bottomLeft" activeCell="I2" sqref="I1:I1048576"/>
    </sheetView>
  </sheetViews>
  <sheetFormatPr defaultColWidth="9.109375" defaultRowHeight="13.2" x14ac:dyDescent="0.25"/>
  <cols>
    <col min="1" max="1" width="18.6640625" style="3" customWidth="1"/>
    <col min="2" max="50" width="3.44140625" style="3" customWidth="1"/>
    <col min="51" max="57" width="3.6640625" style="3" customWidth="1"/>
    <col min="58" max="58" width="3.44140625" style="3" customWidth="1"/>
    <col min="59" max="79" width="3.6640625" style="3" customWidth="1"/>
    <col min="80" max="80" width="3.44140625" style="3" customWidth="1"/>
    <col min="81" max="86" width="3.6640625" style="3" customWidth="1"/>
    <col min="87" max="16384" width="9.109375" style="3"/>
  </cols>
  <sheetData>
    <row r="1" spans="1:86" ht="24.75" customHeight="1" thickBot="1" x14ac:dyDescent="0.3">
      <c r="A1" s="195" t="s">
        <v>171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</row>
    <row r="2" spans="1:86" ht="96" customHeight="1" x14ac:dyDescent="0.25">
      <c r="A2" s="75"/>
      <c r="B2" s="9" t="s">
        <v>280</v>
      </c>
      <c r="C2" s="9" t="s">
        <v>281</v>
      </c>
      <c r="D2" s="9" t="s">
        <v>282</v>
      </c>
      <c r="E2" s="9" t="s">
        <v>57</v>
      </c>
      <c r="F2" s="9" t="s">
        <v>13</v>
      </c>
      <c r="G2" s="9" t="s">
        <v>43</v>
      </c>
      <c r="H2" s="68" t="s">
        <v>54</v>
      </c>
      <c r="I2" s="68" t="s">
        <v>14</v>
      </c>
      <c r="J2" s="9" t="s">
        <v>59</v>
      </c>
      <c r="K2" s="9" t="s">
        <v>187</v>
      </c>
      <c r="L2" s="9" t="s">
        <v>283</v>
      </c>
      <c r="M2" s="9" t="s">
        <v>214</v>
      </c>
      <c r="N2" s="9" t="s">
        <v>58</v>
      </c>
      <c r="O2" s="9" t="s">
        <v>245</v>
      </c>
      <c r="P2" s="9" t="s">
        <v>211</v>
      </c>
      <c r="Q2" s="9" t="s">
        <v>65</v>
      </c>
      <c r="R2" s="9" t="s">
        <v>33</v>
      </c>
      <c r="S2" s="9" t="s">
        <v>15</v>
      </c>
      <c r="T2" s="9" t="s">
        <v>213</v>
      </c>
      <c r="U2" s="9" t="s">
        <v>51</v>
      </c>
      <c r="V2" s="9" t="s">
        <v>44</v>
      </c>
      <c r="W2" s="9" t="s">
        <v>284</v>
      </c>
      <c r="X2" s="9" t="s">
        <v>16</v>
      </c>
      <c r="Y2" s="9" t="s">
        <v>209</v>
      </c>
      <c r="Z2" s="9" t="s">
        <v>285</v>
      </c>
      <c r="AA2" s="10" t="s">
        <v>42</v>
      </c>
      <c r="AB2" s="9" t="s">
        <v>286</v>
      </c>
      <c r="AC2" s="9" t="s">
        <v>144</v>
      </c>
      <c r="AD2" s="9" t="s">
        <v>208</v>
      </c>
      <c r="AE2" s="9" t="s">
        <v>294</v>
      </c>
      <c r="AF2" s="10" t="s">
        <v>60</v>
      </c>
      <c r="AG2" s="9" t="s">
        <v>50</v>
      </c>
      <c r="AH2" s="10" t="s">
        <v>62</v>
      </c>
      <c r="AI2" s="9" t="s">
        <v>17</v>
      </c>
      <c r="AJ2" s="10" t="s">
        <v>263</v>
      </c>
      <c r="AK2" s="9" t="s">
        <v>287</v>
      </c>
      <c r="AL2" s="9" t="s">
        <v>45</v>
      </c>
      <c r="AM2" s="9" t="s">
        <v>288</v>
      </c>
      <c r="AN2" s="9" t="s">
        <v>289</v>
      </c>
      <c r="AO2" s="9" t="s">
        <v>47</v>
      </c>
      <c r="AP2" s="10" t="s">
        <v>18</v>
      </c>
      <c r="AQ2" s="9" t="s">
        <v>48</v>
      </c>
      <c r="AR2" s="9" t="s">
        <v>290</v>
      </c>
      <c r="AS2" s="10" t="s">
        <v>36</v>
      </c>
      <c r="AT2" s="9" t="s">
        <v>295</v>
      </c>
      <c r="AU2" s="9" t="s">
        <v>19</v>
      </c>
      <c r="AV2" s="9" t="s">
        <v>291</v>
      </c>
      <c r="AW2" s="9" t="s">
        <v>101</v>
      </c>
      <c r="AX2" s="10" t="s">
        <v>191</v>
      </c>
      <c r="AY2" s="9" t="s">
        <v>67</v>
      </c>
      <c r="AZ2" s="10" t="s">
        <v>20</v>
      </c>
      <c r="BA2" s="9" t="s">
        <v>274</v>
      </c>
      <c r="BB2" s="10" t="s">
        <v>37</v>
      </c>
      <c r="BC2" s="9" t="s">
        <v>85</v>
      </c>
      <c r="BD2" s="9" t="s">
        <v>68</v>
      </c>
      <c r="BE2" s="9" t="s">
        <v>816</v>
      </c>
      <c r="BF2" s="9" t="s">
        <v>296</v>
      </c>
      <c r="BG2" s="10" t="s">
        <v>181</v>
      </c>
      <c r="BH2" s="10" t="s">
        <v>21</v>
      </c>
      <c r="BI2" s="9" t="s">
        <v>22</v>
      </c>
      <c r="BJ2" s="9" t="s">
        <v>292</v>
      </c>
      <c r="BK2" s="9" t="s">
        <v>76</v>
      </c>
      <c r="BL2" s="10" t="s">
        <v>53</v>
      </c>
      <c r="BM2" s="9" t="s">
        <v>23</v>
      </c>
      <c r="BN2" s="68" t="s">
        <v>69</v>
      </c>
      <c r="BO2" s="68" t="s">
        <v>38</v>
      </c>
      <c r="BP2" s="10" t="s">
        <v>40</v>
      </c>
      <c r="BQ2" s="9" t="s">
        <v>61</v>
      </c>
      <c r="BR2" s="10" t="s">
        <v>34</v>
      </c>
      <c r="BS2" s="9" t="s">
        <v>49</v>
      </c>
      <c r="BT2" s="10" t="s">
        <v>167</v>
      </c>
      <c r="BU2" s="9" t="s">
        <v>24</v>
      </c>
      <c r="BV2" s="10" t="s">
        <v>25</v>
      </c>
      <c r="BW2" s="9" t="s">
        <v>293</v>
      </c>
      <c r="BX2" s="9" t="s">
        <v>190</v>
      </c>
      <c r="BY2" s="9" t="s">
        <v>55</v>
      </c>
      <c r="BZ2" s="10" t="s">
        <v>26</v>
      </c>
      <c r="CA2" s="9" t="s">
        <v>27</v>
      </c>
      <c r="CB2" s="9" t="s">
        <v>297</v>
      </c>
      <c r="CC2" s="9" t="s">
        <v>35</v>
      </c>
      <c r="CD2" s="10" t="s">
        <v>39</v>
      </c>
      <c r="CE2" s="9" t="s">
        <v>64</v>
      </c>
      <c r="CF2" s="10" t="s">
        <v>30</v>
      </c>
      <c r="CG2" s="9" t="s">
        <v>41</v>
      </c>
      <c r="CH2" s="14" t="s">
        <v>28</v>
      </c>
    </row>
    <row r="3" spans="1:86" ht="12.75" customHeight="1" x14ac:dyDescent="0.25">
      <c r="A3" s="11" t="s">
        <v>280</v>
      </c>
      <c r="B3" s="12" t="s">
        <v>63</v>
      </c>
      <c r="C3" s="12">
        <f>B4</f>
        <v>2</v>
      </c>
      <c r="D3" s="12">
        <f>B5</f>
        <v>2</v>
      </c>
      <c r="E3" s="12">
        <f>B6</f>
        <v>3</v>
      </c>
      <c r="F3" s="12">
        <f>B7</f>
        <v>3</v>
      </c>
      <c r="G3" s="12">
        <f>B8</f>
        <v>3</v>
      </c>
      <c r="H3" s="71">
        <f>B9</f>
        <v>4</v>
      </c>
      <c r="I3" s="71">
        <f>B10</f>
        <v>2</v>
      </c>
      <c r="J3" s="12">
        <f>B11</f>
        <v>2</v>
      </c>
      <c r="K3" s="12">
        <f>B12</f>
        <v>2</v>
      </c>
      <c r="L3" s="12">
        <f>B13</f>
        <v>2</v>
      </c>
      <c r="M3" s="12">
        <f>B14</f>
        <v>2</v>
      </c>
      <c r="N3" s="12">
        <f>B15</f>
        <v>1</v>
      </c>
      <c r="O3" s="12">
        <f>B16</f>
        <v>4</v>
      </c>
      <c r="P3" s="12">
        <f>B17</f>
        <v>2</v>
      </c>
      <c r="Q3" s="12">
        <f>B18</f>
        <v>3</v>
      </c>
      <c r="R3" s="12">
        <f>B19</f>
        <v>3</v>
      </c>
      <c r="S3" s="12">
        <f>B20</f>
        <v>2</v>
      </c>
      <c r="T3" s="12">
        <f>B21</f>
        <v>2</v>
      </c>
      <c r="U3" s="12">
        <f>B22</f>
        <v>4</v>
      </c>
      <c r="V3" s="12">
        <f>B23</f>
        <v>2</v>
      </c>
      <c r="W3" s="12">
        <f>B24</f>
        <v>2</v>
      </c>
      <c r="X3" s="12">
        <f>B25</f>
        <v>2</v>
      </c>
      <c r="Y3" s="12">
        <f>B26</f>
        <v>2</v>
      </c>
      <c r="Z3" s="12">
        <f>B27</f>
        <v>2</v>
      </c>
      <c r="AA3" s="12">
        <f>B28</f>
        <v>4</v>
      </c>
      <c r="AB3" s="12">
        <f>B29</f>
        <v>2</v>
      </c>
      <c r="AC3" s="12">
        <f>B30</f>
        <v>4</v>
      </c>
      <c r="AD3" s="12">
        <f>B31</f>
        <v>2</v>
      </c>
      <c r="AE3" s="12">
        <f>B32</f>
        <v>2</v>
      </c>
      <c r="AF3" s="12">
        <f>B33</f>
        <v>3</v>
      </c>
      <c r="AG3" s="12">
        <f>B34</f>
        <v>4</v>
      </c>
      <c r="AH3" s="12">
        <f>B35</f>
        <v>3</v>
      </c>
      <c r="AI3" s="12">
        <f>B36</f>
        <v>3</v>
      </c>
      <c r="AJ3" s="12">
        <f>B37</f>
        <v>4</v>
      </c>
      <c r="AK3" s="12">
        <f>B38</f>
        <v>2</v>
      </c>
      <c r="AL3" s="12">
        <f>B39</f>
        <v>2</v>
      </c>
      <c r="AM3" s="12">
        <f>B40</f>
        <v>2</v>
      </c>
      <c r="AN3" s="12">
        <f>B41</f>
        <v>2</v>
      </c>
      <c r="AO3" s="12">
        <f>B42</f>
        <v>2</v>
      </c>
      <c r="AP3" s="12">
        <f>B43</f>
        <v>2</v>
      </c>
      <c r="AQ3" s="12">
        <f>B44</f>
        <v>2</v>
      </c>
      <c r="AR3" s="12">
        <f>B45</f>
        <v>2</v>
      </c>
      <c r="AS3" s="12">
        <f>B46</f>
        <v>3</v>
      </c>
      <c r="AT3" s="12">
        <f>B47</f>
        <v>2</v>
      </c>
      <c r="AU3" s="12">
        <f>B48</f>
        <v>2</v>
      </c>
      <c r="AV3" s="12">
        <f>B49</f>
        <v>2</v>
      </c>
      <c r="AW3" s="12">
        <f>B50</f>
        <v>2</v>
      </c>
      <c r="AX3" s="12">
        <f>B51</f>
        <v>2</v>
      </c>
      <c r="AY3" s="12">
        <f>B52</f>
        <v>4</v>
      </c>
      <c r="AZ3" s="12">
        <f>B53</f>
        <v>3</v>
      </c>
      <c r="BA3" s="12">
        <f>B54</f>
        <v>2</v>
      </c>
      <c r="BB3" s="12">
        <f>B55</f>
        <v>3</v>
      </c>
      <c r="BC3" s="12">
        <f>B56</f>
        <v>4</v>
      </c>
      <c r="BD3" s="12">
        <f>B57</f>
        <v>4</v>
      </c>
      <c r="BE3" s="12">
        <f>B58</f>
        <v>2</v>
      </c>
      <c r="BF3" s="12">
        <f>B59</f>
        <v>2</v>
      </c>
      <c r="BG3" s="12">
        <f>B60</f>
        <v>2</v>
      </c>
      <c r="BH3" s="12">
        <f>B61</f>
        <v>2</v>
      </c>
      <c r="BI3" s="12">
        <f>B62</f>
        <v>2</v>
      </c>
      <c r="BJ3" s="12">
        <f>B63</f>
        <v>2</v>
      </c>
      <c r="BK3" s="12">
        <f>B64</f>
        <v>2</v>
      </c>
      <c r="BL3" s="12">
        <f>B65</f>
        <v>4</v>
      </c>
      <c r="BM3" s="12">
        <f>B66</f>
        <v>3</v>
      </c>
      <c r="BN3" s="12">
        <f>B67</f>
        <v>4</v>
      </c>
      <c r="BO3" s="12">
        <f>B68</f>
        <v>3</v>
      </c>
      <c r="BP3" s="12">
        <f>B69</f>
        <v>3</v>
      </c>
      <c r="BQ3" s="12">
        <f>B70</f>
        <v>2</v>
      </c>
      <c r="BR3" s="12">
        <f>B71</f>
        <v>3</v>
      </c>
      <c r="BS3" s="12">
        <f>B72</f>
        <v>2</v>
      </c>
      <c r="BT3" s="12">
        <f>B73</f>
        <v>2</v>
      </c>
      <c r="BU3" s="12">
        <f>B74</f>
        <v>2</v>
      </c>
      <c r="BV3" s="12">
        <f>B75</f>
        <v>3</v>
      </c>
      <c r="BW3" s="12">
        <f>B76</f>
        <v>2</v>
      </c>
      <c r="BX3" s="12">
        <f>B77</f>
        <v>2</v>
      </c>
      <c r="BY3" s="12">
        <f>B78</f>
        <v>2</v>
      </c>
      <c r="BZ3" s="12">
        <f>B79</f>
        <v>2</v>
      </c>
      <c r="CA3" s="12">
        <f>B80</f>
        <v>2</v>
      </c>
      <c r="CB3" s="12">
        <f>B81</f>
        <v>2</v>
      </c>
      <c r="CC3" s="12">
        <f>B82</f>
        <v>3</v>
      </c>
      <c r="CD3" s="12">
        <f>B83</f>
        <v>3</v>
      </c>
      <c r="CE3" s="12">
        <f>B84</f>
        <v>4</v>
      </c>
      <c r="CF3" s="12">
        <f>B85</f>
        <v>2</v>
      </c>
      <c r="CG3" s="12">
        <f>B86</f>
        <v>4</v>
      </c>
      <c r="CH3" s="15">
        <f>B87</f>
        <v>2</v>
      </c>
    </row>
    <row r="4" spans="1:86" ht="12.75" customHeight="1" x14ac:dyDescent="0.25">
      <c r="A4" s="11" t="s">
        <v>281</v>
      </c>
      <c r="B4" s="12">
        <v>2</v>
      </c>
      <c r="C4" s="12" t="s">
        <v>63</v>
      </c>
      <c r="D4" s="12">
        <f>C5</f>
        <v>2</v>
      </c>
      <c r="E4" s="12">
        <f>C6</f>
        <v>3</v>
      </c>
      <c r="F4" s="12">
        <f>C7</f>
        <v>3</v>
      </c>
      <c r="G4" s="12">
        <f>C8</f>
        <v>3</v>
      </c>
      <c r="H4" s="12">
        <f>C9</f>
        <v>4</v>
      </c>
      <c r="I4" s="71">
        <f>C10</f>
        <v>2</v>
      </c>
      <c r="J4" s="71">
        <f>C11</f>
        <v>2</v>
      </c>
      <c r="K4" s="12">
        <f>C12</f>
        <v>2</v>
      </c>
      <c r="L4" s="12">
        <f>C13</f>
        <v>2</v>
      </c>
      <c r="M4" s="12">
        <f>C14</f>
        <v>2</v>
      </c>
      <c r="N4" s="12">
        <f>C15</f>
        <v>1</v>
      </c>
      <c r="O4" s="12">
        <f>C16</f>
        <v>4</v>
      </c>
      <c r="P4" s="12">
        <f>C17</f>
        <v>2</v>
      </c>
      <c r="Q4" s="12">
        <f>C18</f>
        <v>3</v>
      </c>
      <c r="R4" s="12">
        <f>D18</f>
        <v>3</v>
      </c>
      <c r="S4" s="12">
        <f>C20</f>
        <v>2</v>
      </c>
      <c r="T4" s="12">
        <f>C21</f>
        <v>2</v>
      </c>
      <c r="U4" s="12">
        <f>C22</f>
        <v>4</v>
      </c>
      <c r="V4" s="12">
        <f>C23</f>
        <v>2</v>
      </c>
      <c r="W4" s="12">
        <f>C24</f>
        <v>2</v>
      </c>
      <c r="X4" s="12">
        <f>C25</f>
        <v>2</v>
      </c>
      <c r="Y4" s="12">
        <f>C26</f>
        <v>2</v>
      </c>
      <c r="Z4" s="12">
        <f>C27</f>
        <v>2</v>
      </c>
      <c r="AA4" s="12">
        <f>C28</f>
        <v>4</v>
      </c>
      <c r="AB4" s="12">
        <f>C29</f>
        <v>2</v>
      </c>
      <c r="AC4" s="12">
        <f>C30</f>
        <v>4</v>
      </c>
      <c r="AD4" s="12">
        <f>C31</f>
        <v>2</v>
      </c>
      <c r="AE4" s="12">
        <f>C32</f>
        <v>2</v>
      </c>
      <c r="AF4" s="12">
        <f>C33</f>
        <v>3</v>
      </c>
      <c r="AG4" s="12">
        <f>C34</f>
        <v>4</v>
      </c>
      <c r="AH4" s="12">
        <f>C35</f>
        <v>3</v>
      </c>
      <c r="AI4" s="12">
        <f>C36</f>
        <v>3</v>
      </c>
      <c r="AJ4" s="12">
        <f>C37</f>
        <v>4</v>
      </c>
      <c r="AK4" s="12">
        <f>C38</f>
        <v>2</v>
      </c>
      <c r="AL4" s="12">
        <f>C39</f>
        <v>2</v>
      </c>
      <c r="AM4" s="12">
        <f>C40</f>
        <v>2</v>
      </c>
      <c r="AN4" s="12">
        <f>C41</f>
        <v>2</v>
      </c>
      <c r="AO4" s="12">
        <f>C42</f>
        <v>2</v>
      </c>
      <c r="AP4" s="12">
        <f>C43</f>
        <v>2</v>
      </c>
      <c r="AQ4" s="12">
        <f>C44</f>
        <v>2</v>
      </c>
      <c r="AR4" s="12">
        <f>C45</f>
        <v>2</v>
      </c>
      <c r="AS4" s="12">
        <f>C46</f>
        <v>3</v>
      </c>
      <c r="AT4" s="12">
        <f>C47</f>
        <v>2</v>
      </c>
      <c r="AU4" s="12">
        <f>C48</f>
        <v>2</v>
      </c>
      <c r="AV4" s="12">
        <f>C49</f>
        <v>2</v>
      </c>
      <c r="AW4" s="12">
        <f>C50</f>
        <v>2</v>
      </c>
      <c r="AX4" s="12">
        <f>C51</f>
        <v>2</v>
      </c>
      <c r="AY4" s="12">
        <f>C52</f>
        <v>4</v>
      </c>
      <c r="AZ4" s="12">
        <f>C53</f>
        <v>3</v>
      </c>
      <c r="BA4" s="12">
        <f>C54</f>
        <v>2</v>
      </c>
      <c r="BB4" s="12">
        <f>C55</f>
        <v>3</v>
      </c>
      <c r="BC4" s="12">
        <f>C56</f>
        <v>4</v>
      </c>
      <c r="BD4" s="12">
        <f>C57</f>
        <v>4</v>
      </c>
      <c r="BE4" s="12">
        <f>C58</f>
        <v>2</v>
      </c>
      <c r="BF4" s="12">
        <f>D58</f>
        <v>2</v>
      </c>
      <c r="BG4" s="12">
        <f>C60</f>
        <v>2</v>
      </c>
      <c r="BH4" s="12">
        <f>C61</f>
        <v>2</v>
      </c>
      <c r="BI4" s="12">
        <f>C62</f>
        <v>2</v>
      </c>
      <c r="BJ4" s="12">
        <f>C63</f>
        <v>2</v>
      </c>
      <c r="BK4" s="12">
        <f>C64</f>
        <v>2</v>
      </c>
      <c r="BL4" s="12">
        <f>C65</f>
        <v>4</v>
      </c>
      <c r="BM4" s="12">
        <f>C66</f>
        <v>3</v>
      </c>
      <c r="BN4" s="12">
        <f>C67</f>
        <v>4</v>
      </c>
      <c r="BO4" s="12">
        <f>C68</f>
        <v>3</v>
      </c>
      <c r="BP4" s="12">
        <f>C69</f>
        <v>3</v>
      </c>
      <c r="BQ4" s="12">
        <f>C70</f>
        <v>2</v>
      </c>
      <c r="BR4" s="12">
        <f>C71</f>
        <v>3</v>
      </c>
      <c r="BS4" s="12">
        <f>C72</f>
        <v>2</v>
      </c>
      <c r="BT4" s="12">
        <f>C73</f>
        <v>2</v>
      </c>
      <c r="BU4" s="12">
        <f>C74</f>
        <v>2</v>
      </c>
      <c r="BV4" s="12">
        <f>C75</f>
        <v>3</v>
      </c>
      <c r="BW4" s="12">
        <f>C76</f>
        <v>2</v>
      </c>
      <c r="BX4" s="12">
        <f>C77</f>
        <v>2</v>
      </c>
      <c r="BY4" s="12">
        <f>C78</f>
        <v>2</v>
      </c>
      <c r="BZ4" s="12">
        <f>C79</f>
        <v>2</v>
      </c>
      <c r="CA4" s="12">
        <f>C80</f>
        <v>2</v>
      </c>
      <c r="CB4" s="12">
        <f>C81</f>
        <v>2</v>
      </c>
      <c r="CC4" s="12">
        <f>C82</f>
        <v>3</v>
      </c>
      <c r="CD4" s="12">
        <f>C83</f>
        <v>3</v>
      </c>
      <c r="CE4" s="12">
        <f>C84</f>
        <v>4</v>
      </c>
      <c r="CF4" s="12">
        <f>C85</f>
        <v>2</v>
      </c>
      <c r="CG4" s="12">
        <f>C86</f>
        <v>4</v>
      </c>
      <c r="CH4" s="15">
        <f>C87</f>
        <v>2</v>
      </c>
    </row>
    <row r="5" spans="1:86" ht="12.75" customHeight="1" x14ac:dyDescent="0.25">
      <c r="A5" s="11" t="s">
        <v>282</v>
      </c>
      <c r="B5" s="12">
        <v>2</v>
      </c>
      <c r="C5" s="12">
        <v>2</v>
      </c>
      <c r="D5" s="12" t="s">
        <v>63</v>
      </c>
      <c r="E5" s="12">
        <f>D6</f>
        <v>3</v>
      </c>
      <c r="F5" s="12">
        <f>D7</f>
        <v>3</v>
      </c>
      <c r="G5" s="12">
        <f>D8</f>
        <v>3</v>
      </c>
      <c r="H5" s="12">
        <f>D9</f>
        <v>4</v>
      </c>
      <c r="I5" s="12">
        <f>D10</f>
        <v>2</v>
      </c>
      <c r="J5" s="71">
        <f>D11</f>
        <v>2</v>
      </c>
      <c r="K5" s="71">
        <f>D12</f>
        <v>2</v>
      </c>
      <c r="L5" s="12">
        <f>D13</f>
        <v>2</v>
      </c>
      <c r="M5" s="12">
        <f>D14</f>
        <v>2</v>
      </c>
      <c r="N5" s="12">
        <f>D15</f>
        <v>1</v>
      </c>
      <c r="O5" s="12">
        <f>D16</f>
        <v>4</v>
      </c>
      <c r="P5" s="12">
        <f>D17</f>
        <v>2</v>
      </c>
      <c r="Q5" s="12">
        <f>D18</f>
        <v>3</v>
      </c>
      <c r="R5" s="12">
        <f>D19</f>
        <v>3</v>
      </c>
      <c r="S5" s="12">
        <f>E19</f>
        <v>3</v>
      </c>
      <c r="T5" s="12">
        <f>D21</f>
        <v>2</v>
      </c>
      <c r="U5" s="12">
        <f>D22</f>
        <v>4</v>
      </c>
      <c r="V5" s="12">
        <f>D23</f>
        <v>2</v>
      </c>
      <c r="W5" s="12">
        <f>D24</f>
        <v>2</v>
      </c>
      <c r="X5" s="12">
        <f>D25</f>
        <v>2</v>
      </c>
      <c r="Y5" s="12">
        <f>D26</f>
        <v>2</v>
      </c>
      <c r="Z5" s="12">
        <f>D27</f>
        <v>2</v>
      </c>
      <c r="AA5" s="12">
        <f>D28</f>
        <v>4</v>
      </c>
      <c r="AB5" s="12">
        <f>D29</f>
        <v>2</v>
      </c>
      <c r="AC5" s="12">
        <f>D30</f>
        <v>4</v>
      </c>
      <c r="AD5" s="12">
        <f>D31</f>
        <v>2</v>
      </c>
      <c r="AE5" s="12">
        <f>D32</f>
        <v>2</v>
      </c>
      <c r="AF5" s="12">
        <f>D33</f>
        <v>3</v>
      </c>
      <c r="AG5" s="12">
        <f>D34</f>
        <v>4</v>
      </c>
      <c r="AH5" s="12">
        <f>D35</f>
        <v>3</v>
      </c>
      <c r="AI5" s="12">
        <f>D36</f>
        <v>3</v>
      </c>
      <c r="AJ5" s="12">
        <f>D37</f>
        <v>4</v>
      </c>
      <c r="AK5" s="12">
        <f>D38</f>
        <v>2</v>
      </c>
      <c r="AL5" s="12">
        <f>D39</f>
        <v>2</v>
      </c>
      <c r="AM5" s="12">
        <f>D40</f>
        <v>2</v>
      </c>
      <c r="AN5" s="12">
        <f>D41</f>
        <v>2</v>
      </c>
      <c r="AO5" s="12">
        <f>D42</f>
        <v>2</v>
      </c>
      <c r="AP5" s="12">
        <f>D43</f>
        <v>2</v>
      </c>
      <c r="AQ5" s="12">
        <f>D44</f>
        <v>2</v>
      </c>
      <c r="AR5" s="12">
        <f>D45</f>
        <v>2</v>
      </c>
      <c r="AS5" s="12">
        <f>D46</f>
        <v>3</v>
      </c>
      <c r="AT5" s="12">
        <f>D47</f>
        <v>2</v>
      </c>
      <c r="AU5" s="12">
        <f>D48</f>
        <v>2</v>
      </c>
      <c r="AV5" s="12">
        <f>D49</f>
        <v>2</v>
      </c>
      <c r="AW5" s="12">
        <f>D50</f>
        <v>2</v>
      </c>
      <c r="AX5" s="12">
        <f>D51</f>
        <v>2</v>
      </c>
      <c r="AY5" s="12">
        <f>D52</f>
        <v>4</v>
      </c>
      <c r="AZ5" s="12">
        <f>D53</f>
        <v>3</v>
      </c>
      <c r="BA5" s="12">
        <f>D54</f>
        <v>2</v>
      </c>
      <c r="BB5" s="12">
        <f>D55</f>
        <v>3</v>
      </c>
      <c r="BC5" s="12">
        <f>D56</f>
        <v>4</v>
      </c>
      <c r="BD5" s="12">
        <f>D57</f>
        <v>4</v>
      </c>
      <c r="BE5" s="12">
        <f>D58</f>
        <v>2</v>
      </c>
      <c r="BF5" s="12">
        <f>E58</f>
        <v>1</v>
      </c>
      <c r="BG5" s="12">
        <f>D60</f>
        <v>2</v>
      </c>
      <c r="BH5" s="12">
        <f>D61</f>
        <v>2</v>
      </c>
      <c r="BI5" s="12">
        <f>D62</f>
        <v>2</v>
      </c>
      <c r="BJ5" s="12">
        <f>D63</f>
        <v>2</v>
      </c>
      <c r="BK5" s="12">
        <f>D64</f>
        <v>2</v>
      </c>
      <c r="BL5" s="12">
        <f>D65</f>
        <v>4</v>
      </c>
      <c r="BM5" s="12">
        <f>D66</f>
        <v>3</v>
      </c>
      <c r="BN5" s="12">
        <f>D67</f>
        <v>4</v>
      </c>
      <c r="BO5" s="12">
        <f>D68</f>
        <v>3</v>
      </c>
      <c r="BP5" s="12">
        <f>D69</f>
        <v>3</v>
      </c>
      <c r="BQ5" s="12">
        <f>D70</f>
        <v>2</v>
      </c>
      <c r="BR5" s="12">
        <f>D71</f>
        <v>3</v>
      </c>
      <c r="BS5" s="12">
        <f>D72</f>
        <v>2</v>
      </c>
      <c r="BT5" s="12">
        <f>D73</f>
        <v>2</v>
      </c>
      <c r="BU5" s="12">
        <f>D74</f>
        <v>2</v>
      </c>
      <c r="BV5" s="12">
        <f>D75</f>
        <v>3</v>
      </c>
      <c r="BW5" s="12">
        <f>D76</f>
        <v>2</v>
      </c>
      <c r="BX5" s="12">
        <f>D77</f>
        <v>2</v>
      </c>
      <c r="BY5" s="12">
        <f>D78</f>
        <v>2</v>
      </c>
      <c r="BZ5" s="12">
        <f>D79</f>
        <v>2</v>
      </c>
      <c r="CA5" s="12">
        <f>D80</f>
        <v>2</v>
      </c>
      <c r="CB5" s="12">
        <f>D81</f>
        <v>2</v>
      </c>
      <c r="CC5" s="12">
        <f>D82</f>
        <v>3</v>
      </c>
      <c r="CD5" s="12">
        <f>D83</f>
        <v>3</v>
      </c>
      <c r="CE5" s="12">
        <f>D84</f>
        <v>4</v>
      </c>
      <c r="CF5" s="12">
        <f>D85</f>
        <v>2</v>
      </c>
      <c r="CG5" s="12">
        <f>D86</f>
        <v>4</v>
      </c>
      <c r="CH5" s="15">
        <f>D87</f>
        <v>2</v>
      </c>
    </row>
    <row r="6" spans="1:86" ht="12.75" customHeight="1" x14ac:dyDescent="0.25">
      <c r="A6" s="11" t="s">
        <v>57</v>
      </c>
      <c r="B6" s="12">
        <v>3</v>
      </c>
      <c r="C6" s="12">
        <v>3</v>
      </c>
      <c r="D6" s="12">
        <v>3</v>
      </c>
      <c r="E6" s="12" t="s">
        <v>63</v>
      </c>
      <c r="F6" s="12">
        <f>E7</f>
        <v>4</v>
      </c>
      <c r="G6" s="12">
        <f>E8</f>
        <v>4</v>
      </c>
      <c r="H6" s="12">
        <f>E9</f>
        <v>4</v>
      </c>
      <c r="I6" s="12">
        <f>E10</f>
        <v>3</v>
      </c>
      <c r="J6" s="12">
        <f>E11</f>
        <v>3</v>
      </c>
      <c r="K6" s="71">
        <f>E12</f>
        <v>3</v>
      </c>
      <c r="L6" s="71">
        <f>E13</f>
        <v>3</v>
      </c>
      <c r="M6" s="12">
        <f>E14</f>
        <v>3</v>
      </c>
      <c r="N6" s="12">
        <f>E15</f>
        <v>2</v>
      </c>
      <c r="O6" s="12">
        <f>E16</f>
        <v>4</v>
      </c>
      <c r="P6" s="12">
        <f>E17</f>
        <v>3</v>
      </c>
      <c r="Q6" s="12">
        <f>E18</f>
        <v>4</v>
      </c>
      <c r="R6" s="12">
        <f>E19</f>
        <v>3</v>
      </c>
      <c r="S6" s="12">
        <f>E20</f>
        <v>3</v>
      </c>
      <c r="T6" s="12">
        <f>F20</f>
        <v>2</v>
      </c>
      <c r="U6" s="12">
        <f>E22</f>
        <v>4</v>
      </c>
      <c r="V6" s="12">
        <f>E23</f>
        <v>3</v>
      </c>
      <c r="W6" s="12">
        <f>E24</f>
        <v>3</v>
      </c>
      <c r="X6" s="12">
        <f>E25</f>
        <v>4</v>
      </c>
      <c r="Y6" s="12">
        <f>E26</f>
        <v>3</v>
      </c>
      <c r="Z6" s="12">
        <f>E27</f>
        <v>3</v>
      </c>
      <c r="AA6" s="12">
        <f>E28</f>
        <v>4</v>
      </c>
      <c r="AB6" s="12">
        <f>E29</f>
        <v>3</v>
      </c>
      <c r="AC6" s="12">
        <f>E30</f>
        <v>4</v>
      </c>
      <c r="AD6" s="12">
        <f>E31</f>
        <v>3</v>
      </c>
      <c r="AE6" s="12">
        <f>E32</f>
        <v>3</v>
      </c>
      <c r="AF6" s="12">
        <f>E33</f>
        <v>3</v>
      </c>
      <c r="AG6" s="12">
        <f>E34</f>
        <v>4</v>
      </c>
      <c r="AH6" s="12">
        <f>E35</f>
        <v>4</v>
      </c>
      <c r="AI6" s="12">
        <f>E36</f>
        <v>4</v>
      </c>
      <c r="AJ6" s="12">
        <f>E37</f>
        <v>4</v>
      </c>
      <c r="AK6" s="12">
        <f>E38</f>
        <v>2</v>
      </c>
      <c r="AL6" s="12">
        <f>E39</f>
        <v>4</v>
      </c>
      <c r="AM6" s="12">
        <f>E40</f>
        <v>3</v>
      </c>
      <c r="AN6" s="12">
        <f>E41</f>
        <v>3</v>
      </c>
      <c r="AO6" s="12">
        <f>E42</f>
        <v>4</v>
      </c>
      <c r="AP6" s="12">
        <f>E43</f>
        <v>2</v>
      </c>
      <c r="AQ6" s="12">
        <f>E44</f>
        <v>3</v>
      </c>
      <c r="AR6" s="12">
        <f>E45</f>
        <v>3</v>
      </c>
      <c r="AS6" s="12">
        <f>E46</f>
        <v>4</v>
      </c>
      <c r="AT6" s="12">
        <f>E47</f>
        <v>3</v>
      </c>
      <c r="AU6" s="12">
        <f>E48</f>
        <v>2</v>
      </c>
      <c r="AV6" s="12">
        <f>E49</f>
        <v>2</v>
      </c>
      <c r="AW6" s="12">
        <f>E50</f>
        <v>4</v>
      </c>
      <c r="AX6" s="12">
        <f>E51</f>
        <v>2</v>
      </c>
      <c r="AY6" s="12">
        <f>E52</f>
        <v>4</v>
      </c>
      <c r="AZ6" s="12">
        <f>E53</f>
        <v>4</v>
      </c>
      <c r="BA6" s="12">
        <f>E54</f>
        <v>3</v>
      </c>
      <c r="BB6" s="12">
        <f>E55</f>
        <v>4</v>
      </c>
      <c r="BC6" s="12">
        <f>E56</f>
        <v>4</v>
      </c>
      <c r="BD6" s="12">
        <f>E57</f>
        <v>4</v>
      </c>
      <c r="BE6" s="12">
        <f>E58</f>
        <v>1</v>
      </c>
      <c r="BF6" s="12">
        <f>F58</f>
        <v>2</v>
      </c>
      <c r="BG6" s="12">
        <f>E60</f>
        <v>3</v>
      </c>
      <c r="BH6" s="12">
        <f>E61</f>
        <v>2</v>
      </c>
      <c r="BI6" s="12">
        <f>E62</f>
        <v>2</v>
      </c>
      <c r="BJ6" s="12">
        <f>E63</f>
        <v>3</v>
      </c>
      <c r="BK6" s="12">
        <f>E64</f>
        <v>3</v>
      </c>
      <c r="BL6" s="12">
        <f>E65</f>
        <v>4</v>
      </c>
      <c r="BM6" s="12">
        <f>E66</f>
        <v>4</v>
      </c>
      <c r="BN6" s="12">
        <f>E67</f>
        <v>4</v>
      </c>
      <c r="BO6" s="12">
        <f>E68</f>
        <v>4</v>
      </c>
      <c r="BP6" s="12">
        <f>E69</f>
        <v>4</v>
      </c>
      <c r="BQ6" s="12">
        <f>E70</f>
        <v>2</v>
      </c>
      <c r="BR6" s="12">
        <f>E71</f>
        <v>3</v>
      </c>
      <c r="BS6" s="12">
        <f>E72</f>
        <v>4</v>
      </c>
      <c r="BT6" s="12">
        <f>E73</f>
        <v>3</v>
      </c>
      <c r="BU6" s="12">
        <f>E74</f>
        <v>3</v>
      </c>
      <c r="BV6" s="12">
        <f>E75</f>
        <v>4</v>
      </c>
      <c r="BW6" s="12">
        <f>E76</f>
        <v>3</v>
      </c>
      <c r="BX6" s="12">
        <f>E77</f>
        <v>3</v>
      </c>
      <c r="BY6" s="12">
        <f>E78</f>
        <v>3</v>
      </c>
      <c r="BZ6" s="12">
        <f>E79</f>
        <v>3</v>
      </c>
      <c r="CA6" s="12">
        <f>E80</f>
        <v>2</v>
      </c>
      <c r="CB6" s="12">
        <f>E81</f>
        <v>3</v>
      </c>
      <c r="CC6" s="12">
        <f>E82</f>
        <v>4</v>
      </c>
      <c r="CD6" s="12">
        <f>E83</f>
        <v>4</v>
      </c>
      <c r="CE6" s="12">
        <f>E84</f>
        <v>4</v>
      </c>
      <c r="CF6" s="12">
        <f>E85</f>
        <v>3</v>
      </c>
      <c r="CG6" s="12">
        <f>E86</f>
        <v>4</v>
      </c>
      <c r="CH6" s="15">
        <f>E87</f>
        <v>4</v>
      </c>
    </row>
    <row r="7" spans="1:86" ht="12.75" customHeight="1" x14ac:dyDescent="0.25">
      <c r="A7" s="11" t="s">
        <v>13</v>
      </c>
      <c r="B7" s="12">
        <v>3</v>
      </c>
      <c r="C7" s="12">
        <v>3</v>
      </c>
      <c r="D7" s="12">
        <v>3</v>
      </c>
      <c r="E7" s="12">
        <v>4</v>
      </c>
      <c r="F7" s="12" t="s">
        <v>63</v>
      </c>
      <c r="G7" s="12">
        <f>F8</f>
        <v>4</v>
      </c>
      <c r="H7" s="12">
        <f>F9</f>
        <v>4</v>
      </c>
      <c r="I7" s="12">
        <f>F10</f>
        <v>3</v>
      </c>
      <c r="J7" s="12">
        <f>F11</f>
        <v>3</v>
      </c>
      <c r="K7" s="12">
        <f>F12</f>
        <v>3</v>
      </c>
      <c r="L7" s="71">
        <f>F13</f>
        <v>3</v>
      </c>
      <c r="M7" s="71">
        <f>F14</f>
        <v>3</v>
      </c>
      <c r="N7" s="71">
        <f>F15</f>
        <v>2</v>
      </c>
      <c r="O7" s="12">
        <f>F16</f>
        <v>4</v>
      </c>
      <c r="P7" s="12">
        <f>F17</f>
        <v>3</v>
      </c>
      <c r="Q7" s="12">
        <f>F18</f>
        <v>4</v>
      </c>
      <c r="R7" s="12">
        <f>F19</f>
        <v>4</v>
      </c>
      <c r="S7" s="12">
        <f>F20</f>
        <v>2</v>
      </c>
      <c r="T7" s="12">
        <f>F21</f>
        <v>3</v>
      </c>
      <c r="U7" s="12">
        <f>G21</f>
        <v>3</v>
      </c>
      <c r="V7" s="12">
        <f>F23</f>
        <v>3</v>
      </c>
      <c r="W7" s="12">
        <f>F24</f>
        <v>3</v>
      </c>
      <c r="X7" s="12">
        <f>F25</f>
        <v>4</v>
      </c>
      <c r="Y7" s="12">
        <f>F26</f>
        <v>3</v>
      </c>
      <c r="Z7" s="12">
        <f>F27</f>
        <v>3</v>
      </c>
      <c r="AA7" s="12">
        <f>F28</f>
        <v>4</v>
      </c>
      <c r="AB7" s="12">
        <f>F29</f>
        <v>3</v>
      </c>
      <c r="AC7" s="12">
        <f>F30</f>
        <v>4</v>
      </c>
      <c r="AD7" s="12">
        <f>F31</f>
        <v>3</v>
      </c>
      <c r="AE7" s="12">
        <f>F32</f>
        <v>3</v>
      </c>
      <c r="AF7" s="12">
        <f>F33</f>
        <v>4</v>
      </c>
      <c r="AG7" s="12">
        <f>F34</f>
        <v>4</v>
      </c>
      <c r="AH7" s="12">
        <f>F35</f>
        <v>4</v>
      </c>
      <c r="AI7" s="12">
        <f>F36</f>
        <v>4</v>
      </c>
      <c r="AJ7" s="12">
        <f>F37</f>
        <v>4</v>
      </c>
      <c r="AK7" s="12">
        <f>F38</f>
        <v>3</v>
      </c>
      <c r="AL7" s="12">
        <f>F39</f>
        <v>4</v>
      </c>
      <c r="AM7" s="12">
        <f>F40</f>
        <v>3</v>
      </c>
      <c r="AN7" s="12">
        <f>F41</f>
        <v>3</v>
      </c>
      <c r="AO7" s="12">
        <f>F42</f>
        <v>4</v>
      </c>
      <c r="AP7" s="12">
        <f>F43</f>
        <v>3</v>
      </c>
      <c r="AQ7" s="12">
        <f>F44</f>
        <v>3</v>
      </c>
      <c r="AR7" s="12">
        <f>F45</f>
        <v>3</v>
      </c>
      <c r="AS7" s="12">
        <f>F46</f>
        <v>4</v>
      </c>
      <c r="AT7" s="12">
        <f>F47</f>
        <v>3</v>
      </c>
      <c r="AU7" s="12">
        <f>F48</f>
        <v>3</v>
      </c>
      <c r="AV7" s="12">
        <f>F49</f>
        <v>3</v>
      </c>
      <c r="AW7" s="12">
        <f>F50</f>
        <v>4</v>
      </c>
      <c r="AX7" s="12">
        <f>F51</f>
        <v>3</v>
      </c>
      <c r="AY7" s="12">
        <f>F52</f>
        <v>4</v>
      </c>
      <c r="AZ7" s="12">
        <f>F53</f>
        <v>4</v>
      </c>
      <c r="BA7" s="12">
        <f>F54</f>
        <v>3</v>
      </c>
      <c r="BB7" s="12">
        <f>F55</f>
        <v>4</v>
      </c>
      <c r="BC7" s="12">
        <f>F56</f>
        <v>4</v>
      </c>
      <c r="BD7" s="12">
        <f>F57</f>
        <v>4</v>
      </c>
      <c r="BE7" s="12">
        <f>F58</f>
        <v>2</v>
      </c>
      <c r="BF7" s="12">
        <f>G58</f>
        <v>2</v>
      </c>
      <c r="BG7" s="12">
        <f>F60</f>
        <v>3</v>
      </c>
      <c r="BH7" s="12">
        <f>F61</f>
        <v>3</v>
      </c>
      <c r="BI7" s="12">
        <f>F62</f>
        <v>3</v>
      </c>
      <c r="BJ7" s="12">
        <f>F63</f>
        <v>3</v>
      </c>
      <c r="BK7" s="12">
        <f>F64</f>
        <v>3</v>
      </c>
      <c r="BL7" s="12">
        <f>F65</f>
        <v>4</v>
      </c>
      <c r="BM7" s="12">
        <f>F66</f>
        <v>4</v>
      </c>
      <c r="BN7" s="12">
        <f>F67</f>
        <v>4</v>
      </c>
      <c r="BO7" s="12">
        <f>F68</f>
        <v>4</v>
      </c>
      <c r="BP7" s="12">
        <f>F69</f>
        <v>4</v>
      </c>
      <c r="BQ7" s="12">
        <f>F70</f>
        <v>3</v>
      </c>
      <c r="BR7" s="12">
        <f>F71</f>
        <v>4</v>
      </c>
      <c r="BS7" s="12">
        <f>F72</f>
        <v>4</v>
      </c>
      <c r="BT7" s="12">
        <f>F73</f>
        <v>3</v>
      </c>
      <c r="BU7" s="12">
        <f>F74</f>
        <v>3</v>
      </c>
      <c r="BV7" s="12">
        <f>F75</f>
        <v>4</v>
      </c>
      <c r="BW7" s="12">
        <f>F76</f>
        <v>3</v>
      </c>
      <c r="BX7" s="12">
        <f>F77</f>
        <v>3</v>
      </c>
      <c r="BY7" s="12">
        <f>F78</f>
        <v>3</v>
      </c>
      <c r="BZ7" s="12">
        <f>F79</f>
        <v>1</v>
      </c>
      <c r="CA7" s="12">
        <f>F80</f>
        <v>3</v>
      </c>
      <c r="CB7" s="12">
        <f>F81</f>
        <v>3</v>
      </c>
      <c r="CC7" s="12">
        <f>F82</f>
        <v>4</v>
      </c>
      <c r="CD7" s="12">
        <f>F83</f>
        <v>4</v>
      </c>
      <c r="CE7" s="12">
        <f>F84</f>
        <v>4</v>
      </c>
      <c r="CF7" s="12">
        <f>F85</f>
        <v>3</v>
      </c>
      <c r="CG7" s="12">
        <f>F86</f>
        <v>4</v>
      </c>
      <c r="CH7" s="15">
        <f>F87</f>
        <v>4</v>
      </c>
    </row>
    <row r="8" spans="1:86" ht="11.25" customHeight="1" x14ac:dyDescent="0.25">
      <c r="A8" s="11" t="s">
        <v>43</v>
      </c>
      <c r="B8" s="12">
        <v>3</v>
      </c>
      <c r="C8" s="12">
        <v>3</v>
      </c>
      <c r="D8" s="12">
        <v>3</v>
      </c>
      <c r="E8" s="12">
        <v>4</v>
      </c>
      <c r="F8" s="12">
        <v>4</v>
      </c>
      <c r="G8" s="12" t="s">
        <v>63</v>
      </c>
      <c r="H8" s="12">
        <f>G9</f>
        <v>4</v>
      </c>
      <c r="I8" s="12">
        <f>G10</f>
        <v>3</v>
      </c>
      <c r="J8" s="12">
        <f>G11</f>
        <v>3</v>
      </c>
      <c r="K8" s="12">
        <f>G12</f>
        <v>3</v>
      </c>
      <c r="L8" s="12">
        <f>G13</f>
        <v>3</v>
      </c>
      <c r="M8" s="71">
        <f>G14</f>
        <v>3</v>
      </c>
      <c r="N8" s="71">
        <f>G15</f>
        <v>2</v>
      </c>
      <c r="O8" s="71">
        <f>G16</f>
        <v>4</v>
      </c>
      <c r="P8" s="12">
        <f>G17</f>
        <v>3</v>
      </c>
      <c r="Q8" s="12">
        <f>G18</f>
        <v>4</v>
      </c>
      <c r="R8" s="12">
        <f>G19</f>
        <v>4</v>
      </c>
      <c r="S8" s="12">
        <f>G20</f>
        <v>3</v>
      </c>
      <c r="T8" s="12">
        <f>G21</f>
        <v>3</v>
      </c>
      <c r="U8" s="12">
        <f>G22</f>
        <v>4</v>
      </c>
      <c r="V8" s="12">
        <f>H22</f>
        <v>4</v>
      </c>
      <c r="W8" s="12">
        <f>H22</f>
        <v>4</v>
      </c>
      <c r="X8" s="12">
        <f>G25</f>
        <v>4</v>
      </c>
      <c r="Y8" s="12">
        <f>G26</f>
        <v>3</v>
      </c>
      <c r="Z8" s="12">
        <f>G27</f>
        <v>3</v>
      </c>
      <c r="AA8" s="12">
        <f>G28</f>
        <v>4</v>
      </c>
      <c r="AB8" s="12">
        <f>G29</f>
        <v>3</v>
      </c>
      <c r="AC8" s="12">
        <f>G30</f>
        <v>4</v>
      </c>
      <c r="AD8" s="12">
        <f>G31</f>
        <v>3</v>
      </c>
      <c r="AE8" s="12">
        <f>G32</f>
        <v>3</v>
      </c>
      <c r="AF8" s="12">
        <f>G33</f>
        <v>4</v>
      </c>
      <c r="AG8" s="12">
        <f>G34</f>
        <v>4</v>
      </c>
      <c r="AH8" s="12">
        <f>G35</f>
        <v>4</v>
      </c>
      <c r="AI8" s="12">
        <f>G36</f>
        <v>4</v>
      </c>
      <c r="AJ8" s="12">
        <f>G37</f>
        <v>4</v>
      </c>
      <c r="AK8" s="12">
        <f>G38</f>
        <v>3</v>
      </c>
      <c r="AL8" s="12">
        <f>G39</f>
        <v>4</v>
      </c>
      <c r="AM8" s="12">
        <f>G40</f>
        <v>3</v>
      </c>
      <c r="AN8" s="12">
        <f>G41</f>
        <v>3</v>
      </c>
      <c r="AO8" s="12">
        <f>G42</f>
        <v>4</v>
      </c>
      <c r="AP8" s="12">
        <f>G43</f>
        <v>3</v>
      </c>
      <c r="AQ8" s="12">
        <f>G44</f>
        <v>3</v>
      </c>
      <c r="AR8" s="12">
        <f>G45</f>
        <v>3</v>
      </c>
      <c r="AS8" s="12">
        <f>G46</f>
        <v>4</v>
      </c>
      <c r="AT8" s="12">
        <f>G47</f>
        <v>3</v>
      </c>
      <c r="AU8" s="12">
        <f>G48</f>
        <v>3</v>
      </c>
      <c r="AV8" s="12">
        <f>G49</f>
        <v>3</v>
      </c>
      <c r="AW8" s="12">
        <f>G50</f>
        <v>4</v>
      </c>
      <c r="AX8" s="12">
        <f>G51</f>
        <v>3</v>
      </c>
      <c r="AY8" s="12">
        <f>G52</f>
        <v>4</v>
      </c>
      <c r="AZ8" s="12">
        <f>G53</f>
        <v>4</v>
      </c>
      <c r="BA8" s="12">
        <f>G54</f>
        <v>3</v>
      </c>
      <c r="BB8" s="12">
        <f>G55</f>
        <v>4</v>
      </c>
      <c r="BC8" s="12">
        <f>G56</f>
        <v>4</v>
      </c>
      <c r="BD8" s="12">
        <f>G57</f>
        <v>4</v>
      </c>
      <c r="BE8" s="12">
        <f>G58</f>
        <v>2</v>
      </c>
      <c r="BF8" s="12">
        <f>H58</f>
        <v>3</v>
      </c>
      <c r="BG8" s="12">
        <f>G60</f>
        <v>3</v>
      </c>
      <c r="BH8" s="12">
        <f>G61</f>
        <v>1</v>
      </c>
      <c r="BI8" s="12">
        <f>G62</f>
        <v>3</v>
      </c>
      <c r="BJ8" s="12">
        <f>G63</f>
        <v>3</v>
      </c>
      <c r="BK8" s="12">
        <f>G64</f>
        <v>3</v>
      </c>
      <c r="BL8" s="12">
        <f>G65</f>
        <v>4</v>
      </c>
      <c r="BM8" s="12">
        <f>G66</f>
        <v>4</v>
      </c>
      <c r="BN8" s="12">
        <f>G67</f>
        <v>4</v>
      </c>
      <c r="BO8" s="12">
        <f>G68</f>
        <v>4</v>
      </c>
      <c r="BP8" s="12">
        <f>G69</f>
        <v>4</v>
      </c>
      <c r="BQ8" s="12">
        <f>G70</f>
        <v>3</v>
      </c>
      <c r="BR8" s="12">
        <f>G71</f>
        <v>4</v>
      </c>
      <c r="BS8" s="12">
        <f>G72</f>
        <v>4</v>
      </c>
      <c r="BT8" s="12">
        <f>G73</f>
        <v>3</v>
      </c>
      <c r="BU8" s="12">
        <f>G74</f>
        <v>3</v>
      </c>
      <c r="BV8" s="12">
        <f>G75</f>
        <v>4</v>
      </c>
      <c r="BW8" s="12">
        <f>G76</f>
        <v>3</v>
      </c>
      <c r="BX8" s="12">
        <f>G77</f>
        <v>3</v>
      </c>
      <c r="BY8" s="12">
        <f>G78</f>
        <v>3</v>
      </c>
      <c r="BZ8" s="12">
        <f>G79</f>
        <v>3</v>
      </c>
      <c r="CA8" s="12">
        <f>G80</f>
        <v>3</v>
      </c>
      <c r="CB8" s="12">
        <f>G81</f>
        <v>3</v>
      </c>
      <c r="CC8" s="12">
        <f>G82</f>
        <v>4</v>
      </c>
      <c r="CD8" s="12">
        <f>G83</f>
        <v>4</v>
      </c>
      <c r="CE8" s="12">
        <f>G84</f>
        <v>4</v>
      </c>
      <c r="CF8" s="12">
        <f>G85</f>
        <v>3</v>
      </c>
      <c r="CG8" s="12">
        <f>G86</f>
        <v>4</v>
      </c>
      <c r="CH8" s="15">
        <f>G87</f>
        <v>4</v>
      </c>
    </row>
    <row r="9" spans="1:86" ht="12.75" customHeight="1" x14ac:dyDescent="0.25">
      <c r="A9" s="11" t="s">
        <v>54</v>
      </c>
      <c r="B9" s="12">
        <v>4</v>
      </c>
      <c r="C9" s="12">
        <v>4</v>
      </c>
      <c r="D9" s="12">
        <v>4</v>
      </c>
      <c r="E9" s="12">
        <v>4</v>
      </c>
      <c r="F9" s="12">
        <v>4</v>
      </c>
      <c r="G9" s="12">
        <v>4</v>
      </c>
      <c r="H9" s="71" t="s">
        <v>63</v>
      </c>
      <c r="I9" s="12">
        <f>H10</f>
        <v>3</v>
      </c>
      <c r="J9" s="12">
        <f>H11</f>
        <v>3</v>
      </c>
      <c r="K9" s="12">
        <f>H12</f>
        <v>4</v>
      </c>
      <c r="L9" s="12">
        <f>H13</f>
        <v>4</v>
      </c>
      <c r="M9" s="12">
        <f>H14</f>
        <v>4</v>
      </c>
      <c r="N9" s="12">
        <f>H15</f>
        <v>3</v>
      </c>
      <c r="O9" s="71">
        <f>H16</f>
        <v>4</v>
      </c>
      <c r="P9" s="71">
        <f>H17</f>
        <v>4</v>
      </c>
      <c r="Q9" s="12">
        <f>H18</f>
        <v>4</v>
      </c>
      <c r="R9" s="12">
        <f>H19</f>
        <v>4</v>
      </c>
      <c r="S9" s="12">
        <f>H20</f>
        <v>3</v>
      </c>
      <c r="T9" s="12">
        <f>H21</f>
        <v>4</v>
      </c>
      <c r="U9" s="12">
        <f>H22</f>
        <v>4</v>
      </c>
      <c r="V9" s="12">
        <f>H23</f>
        <v>4</v>
      </c>
      <c r="W9" s="12">
        <f>H24</f>
        <v>4</v>
      </c>
      <c r="X9" s="12">
        <f>I24</f>
        <v>2</v>
      </c>
      <c r="Y9" s="12">
        <f>H26</f>
        <v>4</v>
      </c>
      <c r="Z9" s="12">
        <f>H27</f>
        <v>4</v>
      </c>
      <c r="AA9" s="12">
        <f>H28</f>
        <v>4</v>
      </c>
      <c r="AB9" s="12">
        <f>H29</f>
        <v>4</v>
      </c>
      <c r="AC9" s="12">
        <f>H30</f>
        <v>4</v>
      </c>
      <c r="AD9" s="12">
        <f>H31</f>
        <v>4</v>
      </c>
      <c r="AE9" s="12">
        <f>H32</f>
        <v>4</v>
      </c>
      <c r="AF9" s="12">
        <f>H33</f>
        <v>4</v>
      </c>
      <c r="AG9" s="12">
        <f>H34</f>
        <v>4</v>
      </c>
      <c r="AH9" s="12">
        <f>H35</f>
        <v>4</v>
      </c>
      <c r="AI9" s="12">
        <f>H36</f>
        <v>4</v>
      </c>
      <c r="AJ9" s="12">
        <f>H37</f>
        <v>4</v>
      </c>
      <c r="AK9" s="12">
        <f>H38</f>
        <v>3</v>
      </c>
      <c r="AL9" s="12">
        <f>H39</f>
        <v>4</v>
      </c>
      <c r="AM9" s="12">
        <f>H40</f>
        <v>4</v>
      </c>
      <c r="AN9" s="12">
        <f>H41</f>
        <v>4</v>
      </c>
      <c r="AO9" s="12">
        <f>H42</f>
        <v>4</v>
      </c>
      <c r="AP9" s="12">
        <f>H43</f>
        <v>3</v>
      </c>
      <c r="AQ9" s="12">
        <f>H44</f>
        <v>4</v>
      </c>
      <c r="AR9" s="12">
        <f>H45</f>
        <v>4</v>
      </c>
      <c r="AS9" s="12">
        <f>H46</f>
        <v>4</v>
      </c>
      <c r="AT9" s="12">
        <f>H47</f>
        <v>4</v>
      </c>
      <c r="AU9" s="12">
        <f>H48</f>
        <v>3</v>
      </c>
      <c r="AV9" s="12">
        <f>H49</f>
        <v>3</v>
      </c>
      <c r="AW9" s="12">
        <f>H50</f>
        <v>4</v>
      </c>
      <c r="AX9" s="12">
        <f>H51</f>
        <v>3</v>
      </c>
      <c r="AY9" s="12">
        <f>H52</f>
        <v>4</v>
      </c>
      <c r="AZ9" s="12">
        <f>H53</f>
        <v>4</v>
      </c>
      <c r="BA9" s="12">
        <f>H54</f>
        <v>3</v>
      </c>
      <c r="BB9" s="12">
        <f>H55</f>
        <v>4</v>
      </c>
      <c r="BC9" s="12">
        <f>H56</f>
        <v>4</v>
      </c>
      <c r="BD9" s="12">
        <f>H57</f>
        <v>4</v>
      </c>
      <c r="BE9" s="12">
        <f>H58</f>
        <v>3</v>
      </c>
      <c r="BF9" s="12">
        <f>I58</f>
        <v>1</v>
      </c>
      <c r="BG9" s="12">
        <f>H60</f>
        <v>4</v>
      </c>
      <c r="BH9" s="12">
        <f>H61</f>
        <v>3</v>
      </c>
      <c r="BI9" s="12">
        <f>H62</f>
        <v>3</v>
      </c>
      <c r="BJ9" s="12">
        <f>H63</f>
        <v>4</v>
      </c>
      <c r="BK9" s="12">
        <f>H64</f>
        <v>4</v>
      </c>
      <c r="BL9" s="12">
        <f>H65</f>
        <v>4</v>
      </c>
      <c r="BM9" s="12">
        <f>H66</f>
        <v>4</v>
      </c>
      <c r="BN9" s="12">
        <f>H67</f>
        <v>3</v>
      </c>
      <c r="BO9" s="12">
        <f>H68</f>
        <v>4</v>
      </c>
      <c r="BP9" s="12">
        <f>H69</f>
        <v>4</v>
      </c>
      <c r="BQ9" s="12">
        <f>H70</f>
        <v>3</v>
      </c>
      <c r="BR9" s="12">
        <f>H71</f>
        <v>4</v>
      </c>
      <c r="BS9" s="12">
        <f>H72</f>
        <v>4</v>
      </c>
      <c r="BT9" s="12">
        <f>H73</f>
        <v>3</v>
      </c>
      <c r="BU9" s="12">
        <f>H74</f>
        <v>3</v>
      </c>
      <c r="BV9" s="12">
        <f>H75</f>
        <v>4</v>
      </c>
      <c r="BW9" s="12">
        <f>H76</f>
        <v>4</v>
      </c>
      <c r="BX9" s="12">
        <f>H77</f>
        <v>4</v>
      </c>
      <c r="BY9" s="12">
        <f>H78</f>
        <v>3</v>
      </c>
      <c r="BZ9" s="12">
        <f>H79</f>
        <v>3</v>
      </c>
      <c r="CA9" s="12">
        <f>H80</f>
        <v>3</v>
      </c>
      <c r="CB9" s="12">
        <f>H81</f>
        <v>4</v>
      </c>
      <c r="CC9" s="12">
        <f>H82</f>
        <v>4</v>
      </c>
      <c r="CD9" s="12">
        <f>H83</f>
        <v>4</v>
      </c>
      <c r="CE9" s="12">
        <f>H84</f>
        <v>4</v>
      </c>
      <c r="CF9" s="12">
        <f>H85</f>
        <v>2</v>
      </c>
      <c r="CG9" s="12">
        <f>H86</f>
        <v>4</v>
      </c>
      <c r="CH9" s="15">
        <f>H87</f>
        <v>4</v>
      </c>
    </row>
    <row r="10" spans="1:86" ht="12.75" customHeight="1" x14ac:dyDescent="0.25">
      <c r="A10" s="11" t="s">
        <v>14</v>
      </c>
      <c r="B10" s="12">
        <v>2</v>
      </c>
      <c r="C10" s="12">
        <v>2</v>
      </c>
      <c r="D10" s="12">
        <v>2</v>
      </c>
      <c r="E10" s="12">
        <v>3</v>
      </c>
      <c r="F10" s="12">
        <v>3</v>
      </c>
      <c r="G10" s="12">
        <v>3</v>
      </c>
      <c r="H10" s="71">
        <v>3</v>
      </c>
      <c r="I10" s="71" t="s">
        <v>63</v>
      </c>
      <c r="J10" s="12">
        <f>I11</f>
        <v>1</v>
      </c>
      <c r="K10" s="12">
        <f>I12</f>
        <v>2</v>
      </c>
      <c r="L10" s="12">
        <f>I13</f>
        <v>2</v>
      </c>
      <c r="M10" s="12">
        <f>I14</f>
        <v>2</v>
      </c>
      <c r="N10" s="12">
        <f>I15</f>
        <v>1</v>
      </c>
      <c r="O10" s="12">
        <f>I16</f>
        <v>3</v>
      </c>
      <c r="P10" s="71">
        <f>I17</f>
        <v>2</v>
      </c>
      <c r="Q10" s="12">
        <f>I18</f>
        <v>3</v>
      </c>
      <c r="R10" s="12">
        <f>I19</f>
        <v>3</v>
      </c>
      <c r="S10" s="12">
        <f>I20</f>
        <v>1</v>
      </c>
      <c r="T10" s="12">
        <f>I21</f>
        <v>2</v>
      </c>
      <c r="U10" s="12">
        <f>I22</f>
        <v>3</v>
      </c>
      <c r="V10" s="12">
        <f>I23</f>
        <v>2</v>
      </c>
      <c r="W10" s="12">
        <f>I24</f>
        <v>2</v>
      </c>
      <c r="X10" s="12">
        <f>I25</f>
        <v>3</v>
      </c>
      <c r="Y10" s="12">
        <f>J25</f>
        <v>3</v>
      </c>
      <c r="Z10" s="12">
        <f>I27</f>
        <v>2</v>
      </c>
      <c r="AA10" s="12">
        <f>I28</f>
        <v>3</v>
      </c>
      <c r="AB10" s="12">
        <f>I29</f>
        <v>2</v>
      </c>
      <c r="AC10" s="12">
        <f>I30</f>
        <v>3</v>
      </c>
      <c r="AD10" s="12">
        <f>I31</f>
        <v>2</v>
      </c>
      <c r="AE10" s="12">
        <f>I32</f>
        <v>2</v>
      </c>
      <c r="AF10" s="12">
        <f>I33</f>
        <v>3</v>
      </c>
      <c r="AG10" s="12">
        <f>I34</f>
        <v>3</v>
      </c>
      <c r="AH10" s="12">
        <f>I35</f>
        <v>1</v>
      </c>
      <c r="AI10" s="12">
        <f>I36</f>
        <v>3</v>
      </c>
      <c r="AJ10" s="12">
        <f>I37</f>
        <v>3</v>
      </c>
      <c r="AK10" s="12">
        <f>I38</f>
        <v>2</v>
      </c>
      <c r="AL10" s="12">
        <f>I39</f>
        <v>3</v>
      </c>
      <c r="AM10" s="12">
        <f>I40</f>
        <v>2</v>
      </c>
      <c r="AN10" s="12">
        <f>I41</f>
        <v>2</v>
      </c>
      <c r="AO10" s="12">
        <f>I42</f>
        <v>3</v>
      </c>
      <c r="AP10" s="12">
        <f>I43</f>
        <v>2</v>
      </c>
      <c r="AQ10" s="12">
        <f>I44</f>
        <v>2</v>
      </c>
      <c r="AR10" s="12">
        <f>I45</f>
        <v>2</v>
      </c>
      <c r="AS10" s="12">
        <f>I46</f>
        <v>3</v>
      </c>
      <c r="AT10" s="12">
        <f>I47</f>
        <v>2</v>
      </c>
      <c r="AU10" s="12">
        <f>I48</f>
        <v>2</v>
      </c>
      <c r="AV10" s="12">
        <f>I49</f>
        <v>2</v>
      </c>
      <c r="AW10" s="12">
        <f>I50</f>
        <v>3</v>
      </c>
      <c r="AX10" s="12">
        <f>I51</f>
        <v>2</v>
      </c>
      <c r="AY10" s="12">
        <f>I52</f>
        <v>3</v>
      </c>
      <c r="AZ10" s="12">
        <f>I53</f>
        <v>2</v>
      </c>
      <c r="BA10" s="12">
        <f>I54</f>
        <v>2</v>
      </c>
      <c r="BB10" s="12">
        <f>I55</f>
        <v>3</v>
      </c>
      <c r="BC10" s="12">
        <f>I56</f>
        <v>3</v>
      </c>
      <c r="BD10" s="12">
        <f>I57</f>
        <v>3</v>
      </c>
      <c r="BE10" s="12">
        <f>I58</f>
        <v>1</v>
      </c>
      <c r="BF10" s="12">
        <f>J58</f>
        <v>1</v>
      </c>
      <c r="BG10" s="12">
        <f>I60</f>
        <v>2</v>
      </c>
      <c r="BH10" s="12">
        <f>I61</f>
        <v>2</v>
      </c>
      <c r="BI10" s="12">
        <f>I62</f>
        <v>2</v>
      </c>
      <c r="BJ10" s="12">
        <f>I63</f>
        <v>2</v>
      </c>
      <c r="BK10" s="12">
        <f>I64</f>
        <v>2</v>
      </c>
      <c r="BL10" s="12">
        <f>I65</f>
        <v>3</v>
      </c>
      <c r="BM10" s="12">
        <f>I66</f>
        <v>3</v>
      </c>
      <c r="BN10" s="12">
        <f>I67</f>
        <v>3</v>
      </c>
      <c r="BO10" s="12">
        <f>I68</f>
        <v>3</v>
      </c>
      <c r="BP10" s="12">
        <f>I69</f>
        <v>3</v>
      </c>
      <c r="BQ10" s="12">
        <f>I70</f>
        <v>2</v>
      </c>
      <c r="BR10" s="12">
        <f>I71</f>
        <v>3</v>
      </c>
      <c r="BS10" s="12">
        <f>I72</f>
        <v>3</v>
      </c>
      <c r="BT10" s="12">
        <f>I73</f>
        <v>2</v>
      </c>
      <c r="BU10" s="12">
        <f>I74</f>
        <v>2</v>
      </c>
      <c r="BV10" s="12">
        <f>I75</f>
        <v>3</v>
      </c>
      <c r="BW10" s="12">
        <f>I76</f>
        <v>2</v>
      </c>
      <c r="BX10" s="12">
        <f>I77</f>
        <v>2</v>
      </c>
      <c r="BY10" s="12">
        <f>I78</f>
        <v>2</v>
      </c>
      <c r="BZ10" s="12">
        <f>I79</f>
        <v>1</v>
      </c>
      <c r="CA10" s="12">
        <f>I80</f>
        <v>2</v>
      </c>
      <c r="CB10" s="12">
        <f>I81</f>
        <v>2</v>
      </c>
      <c r="CC10" s="12">
        <f>I82</f>
        <v>3</v>
      </c>
      <c r="CD10" s="12">
        <f>I83</f>
        <v>3</v>
      </c>
      <c r="CE10" s="12">
        <f>I84</f>
        <v>3</v>
      </c>
      <c r="CF10" s="12">
        <f>I85</f>
        <v>2</v>
      </c>
      <c r="CG10" s="12">
        <f>I86</f>
        <v>3</v>
      </c>
      <c r="CH10" s="15">
        <f>I87</f>
        <v>3</v>
      </c>
    </row>
    <row r="11" spans="1:86" ht="12.75" customHeight="1" x14ac:dyDescent="0.25">
      <c r="A11" s="11" t="s">
        <v>59</v>
      </c>
      <c r="B11" s="12">
        <v>2</v>
      </c>
      <c r="C11" s="12">
        <v>2</v>
      </c>
      <c r="D11" s="12">
        <v>2</v>
      </c>
      <c r="E11" s="12">
        <v>3</v>
      </c>
      <c r="F11" s="12">
        <v>3</v>
      </c>
      <c r="G11" s="12">
        <v>3</v>
      </c>
      <c r="H11" s="71">
        <v>3</v>
      </c>
      <c r="I11" s="71">
        <v>1</v>
      </c>
      <c r="J11" s="12" t="s">
        <v>63</v>
      </c>
      <c r="K11" s="12">
        <f>J12</f>
        <v>2</v>
      </c>
      <c r="L11" s="12">
        <f>J13</f>
        <v>2</v>
      </c>
      <c r="M11" s="12">
        <f>J14</f>
        <v>2</v>
      </c>
      <c r="N11" s="12">
        <f>J15</f>
        <v>1</v>
      </c>
      <c r="O11" s="12">
        <f>J16</f>
        <v>3</v>
      </c>
      <c r="P11" s="12">
        <f>J17</f>
        <v>2</v>
      </c>
      <c r="Q11" s="12">
        <f>J18</f>
        <v>3</v>
      </c>
      <c r="R11" s="12">
        <f>J19</f>
        <v>3</v>
      </c>
      <c r="S11" s="12">
        <f>J20</f>
        <v>1</v>
      </c>
      <c r="T11" s="12">
        <f>J21</f>
        <v>2</v>
      </c>
      <c r="U11" s="12">
        <f>J22</f>
        <v>3</v>
      </c>
      <c r="V11" s="12">
        <f>J23</f>
        <v>2</v>
      </c>
      <c r="W11" s="12">
        <f>J24</f>
        <v>2</v>
      </c>
      <c r="X11" s="12">
        <f>J25</f>
        <v>3</v>
      </c>
      <c r="Y11" s="12">
        <f>J26</f>
        <v>2</v>
      </c>
      <c r="Z11" s="12">
        <f>K26</f>
        <v>2</v>
      </c>
      <c r="AA11" s="12">
        <f>J28</f>
        <v>3</v>
      </c>
      <c r="AB11" s="12">
        <f>J29</f>
        <v>2</v>
      </c>
      <c r="AC11" s="12">
        <f>J30</f>
        <v>3</v>
      </c>
      <c r="AD11" s="12">
        <f>J31</f>
        <v>2</v>
      </c>
      <c r="AE11" s="12">
        <f>J32</f>
        <v>2</v>
      </c>
      <c r="AF11" s="12">
        <f>J33</f>
        <v>3</v>
      </c>
      <c r="AG11" s="12">
        <f>J34</f>
        <v>3</v>
      </c>
      <c r="AH11" s="12">
        <f>J35</f>
        <v>2</v>
      </c>
      <c r="AI11" s="12">
        <f>J36</f>
        <v>3</v>
      </c>
      <c r="AJ11" s="12">
        <f>J37</f>
        <v>3</v>
      </c>
      <c r="AK11" s="12">
        <f>J38</f>
        <v>2</v>
      </c>
      <c r="AL11" s="12">
        <f>J39</f>
        <v>3</v>
      </c>
      <c r="AM11" s="12">
        <f>J40</f>
        <v>2</v>
      </c>
      <c r="AN11" s="12">
        <f>J41</f>
        <v>2</v>
      </c>
      <c r="AO11" s="12">
        <f>J42</f>
        <v>3</v>
      </c>
      <c r="AP11" s="12">
        <f>J43</f>
        <v>2</v>
      </c>
      <c r="AQ11" s="12">
        <f>J44</f>
        <v>2</v>
      </c>
      <c r="AR11" s="12">
        <f>J45</f>
        <v>2</v>
      </c>
      <c r="AS11" s="12">
        <f>J46</f>
        <v>3</v>
      </c>
      <c r="AT11" s="12">
        <f>J47</f>
        <v>2</v>
      </c>
      <c r="AU11" s="12">
        <f>J48</f>
        <v>2</v>
      </c>
      <c r="AV11" s="12">
        <f>J49</f>
        <v>2</v>
      </c>
      <c r="AW11" s="12">
        <f>J50</f>
        <v>3</v>
      </c>
      <c r="AX11" s="12">
        <f>J51</f>
        <v>1</v>
      </c>
      <c r="AY11" s="12">
        <f>J52</f>
        <v>3</v>
      </c>
      <c r="AZ11" s="12">
        <f>J53</f>
        <v>2</v>
      </c>
      <c r="BA11" s="12">
        <f>J54</f>
        <v>1</v>
      </c>
      <c r="BB11" s="12">
        <f>J55</f>
        <v>3</v>
      </c>
      <c r="BC11" s="12">
        <f>J56</f>
        <v>3</v>
      </c>
      <c r="BD11" s="12">
        <f>J57</f>
        <v>3</v>
      </c>
      <c r="BE11" s="12">
        <f>J58</f>
        <v>1</v>
      </c>
      <c r="BF11" s="12">
        <f>K58</f>
        <v>2</v>
      </c>
      <c r="BG11" s="12">
        <f>J60</f>
        <v>2</v>
      </c>
      <c r="BH11" s="12">
        <f>J61</f>
        <v>2</v>
      </c>
      <c r="BI11" s="12">
        <f>J62</f>
        <v>2</v>
      </c>
      <c r="BJ11" s="12">
        <f>J63</f>
        <v>2</v>
      </c>
      <c r="BK11" s="12">
        <f>J64</f>
        <v>2</v>
      </c>
      <c r="BL11" s="12">
        <f>J65</f>
        <v>3</v>
      </c>
      <c r="BM11" s="12">
        <f>J66</f>
        <v>3</v>
      </c>
      <c r="BN11" s="12">
        <f>J67</f>
        <v>3</v>
      </c>
      <c r="BO11" s="12">
        <f>J68</f>
        <v>3</v>
      </c>
      <c r="BP11" s="12">
        <f>J69</f>
        <v>3</v>
      </c>
      <c r="BQ11" s="12">
        <f>J70</f>
        <v>2</v>
      </c>
      <c r="BR11" s="12">
        <f>J71</f>
        <v>3</v>
      </c>
      <c r="BS11" s="12">
        <f>J72</f>
        <v>3</v>
      </c>
      <c r="BT11" s="12">
        <f>J73</f>
        <v>2</v>
      </c>
      <c r="BU11" s="12">
        <f>J74</f>
        <v>2</v>
      </c>
      <c r="BV11" s="12">
        <f>J75</f>
        <v>3</v>
      </c>
      <c r="BW11" s="12">
        <f>J76</f>
        <v>2</v>
      </c>
      <c r="BX11" s="12">
        <f>J77</f>
        <v>2</v>
      </c>
      <c r="BY11" s="12">
        <f>J78</f>
        <v>2</v>
      </c>
      <c r="BZ11" s="12">
        <f>J79</f>
        <v>1</v>
      </c>
      <c r="CA11" s="12">
        <f>J80</f>
        <v>2</v>
      </c>
      <c r="CB11" s="12">
        <f>J81</f>
        <v>2</v>
      </c>
      <c r="CC11" s="12">
        <f>J82</f>
        <v>1</v>
      </c>
      <c r="CD11" s="12">
        <f>J83</f>
        <v>3</v>
      </c>
      <c r="CE11" s="12">
        <f>J84</f>
        <v>3</v>
      </c>
      <c r="CF11" s="12">
        <f>J85</f>
        <v>2</v>
      </c>
      <c r="CG11" s="12">
        <f>J86</f>
        <v>3</v>
      </c>
      <c r="CH11" s="15">
        <f>J87</f>
        <v>3</v>
      </c>
    </row>
    <row r="12" spans="1:86" ht="12.75" customHeight="1" x14ac:dyDescent="0.25">
      <c r="A12" s="11" t="s">
        <v>187</v>
      </c>
      <c r="B12" s="12">
        <v>2</v>
      </c>
      <c r="C12" s="12">
        <v>2</v>
      </c>
      <c r="D12" s="12">
        <v>2</v>
      </c>
      <c r="E12" s="12">
        <v>3</v>
      </c>
      <c r="F12" s="12">
        <v>3</v>
      </c>
      <c r="G12" s="12">
        <v>3</v>
      </c>
      <c r="H12" s="71">
        <v>4</v>
      </c>
      <c r="I12" s="71">
        <v>2</v>
      </c>
      <c r="J12" s="12">
        <v>2</v>
      </c>
      <c r="K12" s="12" t="s">
        <v>63</v>
      </c>
      <c r="L12" s="12">
        <f>K13</f>
        <v>2</v>
      </c>
      <c r="M12" s="12">
        <f>K14</f>
        <v>2</v>
      </c>
      <c r="N12" s="12">
        <f>K15</f>
        <v>1</v>
      </c>
      <c r="O12" s="12">
        <f>K16</f>
        <v>4</v>
      </c>
      <c r="P12" s="12">
        <f>K17</f>
        <v>2</v>
      </c>
      <c r="Q12" s="12">
        <f>K18</f>
        <v>3</v>
      </c>
      <c r="R12" s="12">
        <f>K19</f>
        <v>3</v>
      </c>
      <c r="S12" s="12">
        <f>K20</f>
        <v>2</v>
      </c>
      <c r="T12" s="12">
        <f>K21</f>
        <v>2</v>
      </c>
      <c r="U12" s="12">
        <f>K22</f>
        <v>4</v>
      </c>
      <c r="V12" s="12">
        <f>K23</f>
        <v>2</v>
      </c>
      <c r="W12" s="12">
        <f>K24</f>
        <v>2</v>
      </c>
      <c r="X12" s="12">
        <f>K25</f>
        <v>2</v>
      </c>
      <c r="Y12" s="12">
        <f>K26</f>
        <v>2</v>
      </c>
      <c r="Z12" s="12">
        <f>K27</f>
        <v>2</v>
      </c>
      <c r="AA12" s="12">
        <f>L27</f>
        <v>2</v>
      </c>
      <c r="AB12" s="12">
        <f>K29</f>
        <v>2</v>
      </c>
      <c r="AC12" s="12">
        <f>K30</f>
        <v>4</v>
      </c>
      <c r="AD12" s="12">
        <f>K31</f>
        <v>2</v>
      </c>
      <c r="AE12" s="12">
        <f>K32</f>
        <v>2</v>
      </c>
      <c r="AF12" s="12">
        <f>K33</f>
        <v>3</v>
      </c>
      <c r="AG12" s="12">
        <f>K34</f>
        <v>4</v>
      </c>
      <c r="AH12" s="12">
        <f>K35</f>
        <v>3</v>
      </c>
      <c r="AI12" s="12">
        <f>K36</f>
        <v>3</v>
      </c>
      <c r="AJ12" s="12">
        <f>K37</f>
        <v>4</v>
      </c>
      <c r="AK12" s="12">
        <f>K38</f>
        <v>2</v>
      </c>
      <c r="AL12" s="12">
        <f>K39</f>
        <v>2</v>
      </c>
      <c r="AM12" s="12">
        <f>K40</f>
        <v>2</v>
      </c>
      <c r="AN12" s="12">
        <f>K41</f>
        <v>2</v>
      </c>
      <c r="AO12" s="12">
        <f>K42</f>
        <v>2</v>
      </c>
      <c r="AP12" s="12">
        <f>K43</f>
        <v>2</v>
      </c>
      <c r="AQ12" s="12">
        <f>K44</f>
        <v>2</v>
      </c>
      <c r="AR12" s="12">
        <f>K45</f>
        <v>2</v>
      </c>
      <c r="AS12" s="12">
        <f>K46</f>
        <v>3</v>
      </c>
      <c r="AT12" s="12">
        <f>K47</f>
        <v>2</v>
      </c>
      <c r="AU12" s="12">
        <f>K48</f>
        <v>2</v>
      </c>
      <c r="AV12" s="12">
        <f>K49</f>
        <v>2</v>
      </c>
      <c r="AW12" s="12">
        <f>K50</f>
        <v>2</v>
      </c>
      <c r="AX12" s="12">
        <f>K51</f>
        <v>2</v>
      </c>
      <c r="AY12" s="12">
        <f>K52</f>
        <v>4</v>
      </c>
      <c r="AZ12" s="12">
        <f>K53</f>
        <v>3</v>
      </c>
      <c r="BA12" s="12">
        <f>K54</f>
        <v>2</v>
      </c>
      <c r="BB12" s="12">
        <f>K55</f>
        <v>3</v>
      </c>
      <c r="BC12" s="12">
        <f>K56</f>
        <v>4</v>
      </c>
      <c r="BD12" s="12">
        <f>K57</f>
        <v>4</v>
      </c>
      <c r="BE12" s="12">
        <f>K58</f>
        <v>2</v>
      </c>
      <c r="BF12" s="12">
        <f>L58</f>
        <v>2</v>
      </c>
      <c r="BG12" s="12">
        <f>K60</f>
        <v>2</v>
      </c>
      <c r="BH12" s="12">
        <f>K61</f>
        <v>2</v>
      </c>
      <c r="BI12" s="12">
        <f>K62</f>
        <v>2</v>
      </c>
      <c r="BJ12" s="12">
        <f>K63</f>
        <v>2</v>
      </c>
      <c r="BK12" s="12">
        <f>K64</f>
        <v>2</v>
      </c>
      <c r="BL12" s="12">
        <f>K65</f>
        <v>4</v>
      </c>
      <c r="BM12" s="12">
        <f>K66</f>
        <v>3</v>
      </c>
      <c r="BN12" s="12">
        <f>K67</f>
        <v>4</v>
      </c>
      <c r="BO12" s="12">
        <f>K68</f>
        <v>3</v>
      </c>
      <c r="BP12" s="12">
        <f>K69</f>
        <v>3</v>
      </c>
      <c r="BQ12" s="12">
        <f>K70</f>
        <v>2</v>
      </c>
      <c r="BR12" s="12">
        <f>K71</f>
        <v>3</v>
      </c>
      <c r="BS12" s="12">
        <f>K72</f>
        <v>2</v>
      </c>
      <c r="BT12" s="12">
        <f>K73</f>
        <v>2</v>
      </c>
      <c r="BU12" s="12">
        <f>K74</f>
        <v>2</v>
      </c>
      <c r="BV12" s="12">
        <f>K75</f>
        <v>3</v>
      </c>
      <c r="BW12" s="12">
        <f>K76</f>
        <v>2</v>
      </c>
      <c r="BX12" s="12">
        <f>K77</f>
        <v>2</v>
      </c>
      <c r="BY12" s="12">
        <f>K78</f>
        <v>2</v>
      </c>
      <c r="BZ12" s="12">
        <f>K79</f>
        <v>2</v>
      </c>
      <c r="CA12" s="12">
        <f>K80</f>
        <v>2</v>
      </c>
      <c r="CB12" s="12">
        <f>K81</f>
        <v>2</v>
      </c>
      <c r="CC12" s="12">
        <f>K82</f>
        <v>3</v>
      </c>
      <c r="CD12" s="12">
        <f>K83</f>
        <v>3</v>
      </c>
      <c r="CE12" s="12">
        <f>K84</f>
        <v>4</v>
      </c>
      <c r="CF12" s="12">
        <f>K85</f>
        <v>2</v>
      </c>
      <c r="CG12" s="12">
        <f>K86</f>
        <v>4</v>
      </c>
      <c r="CH12" s="66">
        <f>K87</f>
        <v>2</v>
      </c>
    </row>
    <row r="13" spans="1:86" ht="12.75" customHeight="1" x14ac:dyDescent="0.25">
      <c r="A13" s="11" t="s">
        <v>283</v>
      </c>
      <c r="B13" s="12">
        <v>2</v>
      </c>
      <c r="C13" s="12">
        <v>2</v>
      </c>
      <c r="D13" s="12">
        <v>2</v>
      </c>
      <c r="E13" s="12">
        <v>3</v>
      </c>
      <c r="F13" s="12">
        <v>3</v>
      </c>
      <c r="G13" s="12">
        <v>3</v>
      </c>
      <c r="H13" s="71">
        <v>4</v>
      </c>
      <c r="I13" s="71">
        <v>2</v>
      </c>
      <c r="J13" s="12">
        <v>2</v>
      </c>
      <c r="K13" s="12">
        <v>2</v>
      </c>
      <c r="L13" s="12" t="s">
        <v>63</v>
      </c>
      <c r="M13" s="12">
        <f>L14</f>
        <v>2</v>
      </c>
      <c r="N13" s="12">
        <f>L15</f>
        <v>1</v>
      </c>
      <c r="O13" s="12">
        <f>L16</f>
        <v>4</v>
      </c>
      <c r="P13" s="12">
        <f>L17</f>
        <v>2</v>
      </c>
      <c r="Q13" s="12">
        <f>L18</f>
        <v>3</v>
      </c>
      <c r="R13" s="12">
        <f>L19</f>
        <v>3</v>
      </c>
      <c r="S13" s="12">
        <f>L20</f>
        <v>2</v>
      </c>
      <c r="T13" s="12">
        <f>L21</f>
        <v>2</v>
      </c>
      <c r="U13" s="12">
        <f>L22</f>
        <v>4</v>
      </c>
      <c r="V13" s="12">
        <f>L23</f>
        <v>2</v>
      </c>
      <c r="W13" s="12">
        <f>L24</f>
        <v>2</v>
      </c>
      <c r="X13" s="12">
        <f>L25</f>
        <v>2</v>
      </c>
      <c r="Y13" s="12">
        <f>L26</f>
        <v>2</v>
      </c>
      <c r="Z13" s="12">
        <f>L27</f>
        <v>2</v>
      </c>
      <c r="AA13" s="12">
        <f>L28</f>
        <v>4</v>
      </c>
      <c r="AB13" s="12">
        <f>N28</f>
        <v>3</v>
      </c>
      <c r="AC13" s="12">
        <f>L30</f>
        <v>4</v>
      </c>
      <c r="AD13" s="12">
        <f>L31</f>
        <v>2</v>
      </c>
      <c r="AE13" s="12">
        <f>L32</f>
        <v>2</v>
      </c>
      <c r="AF13" s="12">
        <f>L33</f>
        <v>3</v>
      </c>
      <c r="AG13" s="12">
        <f>L34</f>
        <v>4</v>
      </c>
      <c r="AH13" s="12">
        <f>L35</f>
        <v>3</v>
      </c>
      <c r="AI13" s="12">
        <f>L36</f>
        <v>3</v>
      </c>
      <c r="AJ13" s="12">
        <f>L37</f>
        <v>4</v>
      </c>
      <c r="AK13" s="12">
        <f>L38</f>
        <v>2</v>
      </c>
      <c r="AL13" s="12">
        <f>L39</f>
        <v>2</v>
      </c>
      <c r="AM13" s="12">
        <f>L40</f>
        <v>2</v>
      </c>
      <c r="AN13" s="12">
        <f>L41</f>
        <v>2</v>
      </c>
      <c r="AO13" s="12">
        <f>L42</f>
        <v>2</v>
      </c>
      <c r="AP13" s="12">
        <f>L43</f>
        <v>2</v>
      </c>
      <c r="AQ13" s="12">
        <f>L44</f>
        <v>2</v>
      </c>
      <c r="AR13" s="12">
        <f>L45</f>
        <v>2</v>
      </c>
      <c r="AS13" s="12">
        <f>L46</f>
        <v>3</v>
      </c>
      <c r="AT13" s="12">
        <f>L47</f>
        <v>2</v>
      </c>
      <c r="AU13" s="12">
        <f>L48</f>
        <v>2</v>
      </c>
      <c r="AV13" s="12">
        <f>L49</f>
        <v>2</v>
      </c>
      <c r="AW13" s="12">
        <f>L50</f>
        <v>2</v>
      </c>
      <c r="AX13" s="12">
        <f>L51</f>
        <v>2</v>
      </c>
      <c r="AY13" s="12">
        <f>L52</f>
        <v>4</v>
      </c>
      <c r="AZ13" s="12">
        <f>L53</f>
        <v>3</v>
      </c>
      <c r="BA13" s="12">
        <f>L54</f>
        <v>2</v>
      </c>
      <c r="BB13" s="12">
        <f>L55</f>
        <v>3</v>
      </c>
      <c r="BC13" s="12">
        <f>L56</f>
        <v>4</v>
      </c>
      <c r="BD13" s="12">
        <f>L57</f>
        <v>4</v>
      </c>
      <c r="BE13" s="12">
        <f>L58</f>
        <v>2</v>
      </c>
      <c r="BF13" s="12">
        <f>M58</f>
        <v>2</v>
      </c>
      <c r="BG13" s="12">
        <f>L60</f>
        <v>2</v>
      </c>
      <c r="BH13" s="12">
        <f>L61</f>
        <v>2</v>
      </c>
      <c r="BI13" s="12">
        <f>L62</f>
        <v>2</v>
      </c>
      <c r="BJ13" s="12">
        <f>L63</f>
        <v>2</v>
      </c>
      <c r="BK13" s="12">
        <f>L64</f>
        <v>2</v>
      </c>
      <c r="BL13" s="12">
        <f>L65</f>
        <v>4</v>
      </c>
      <c r="BM13" s="12">
        <f>L66</f>
        <v>3</v>
      </c>
      <c r="BN13" s="12">
        <f>L67</f>
        <v>4</v>
      </c>
      <c r="BO13" s="12">
        <f>L68</f>
        <v>3</v>
      </c>
      <c r="BP13" s="12">
        <f>L69</f>
        <v>3</v>
      </c>
      <c r="BQ13" s="12">
        <f>L70</f>
        <v>2</v>
      </c>
      <c r="BR13" s="12">
        <f>L71</f>
        <v>3</v>
      </c>
      <c r="BS13" s="12">
        <f>L72</f>
        <v>2</v>
      </c>
      <c r="BT13" s="12">
        <f>L73</f>
        <v>2</v>
      </c>
      <c r="BU13" s="12">
        <f>L74</f>
        <v>2</v>
      </c>
      <c r="BV13" s="12">
        <f>L75</f>
        <v>3</v>
      </c>
      <c r="BW13" s="12">
        <f>L76</f>
        <v>2</v>
      </c>
      <c r="BX13" s="12">
        <f>L77</f>
        <v>2</v>
      </c>
      <c r="BY13" s="12">
        <f>L78</f>
        <v>2</v>
      </c>
      <c r="BZ13" s="12">
        <f>L79</f>
        <v>2</v>
      </c>
      <c r="CA13" s="12">
        <f>L80</f>
        <v>2</v>
      </c>
      <c r="CB13" s="12">
        <f>L81</f>
        <v>2</v>
      </c>
      <c r="CC13" s="12">
        <f>L82</f>
        <v>3</v>
      </c>
      <c r="CD13" s="12">
        <f>L83</f>
        <v>3</v>
      </c>
      <c r="CE13" s="12">
        <f>L84</f>
        <v>4</v>
      </c>
      <c r="CF13" s="12">
        <f>L85</f>
        <v>2</v>
      </c>
      <c r="CG13" s="12">
        <f>L86</f>
        <v>4</v>
      </c>
      <c r="CH13" s="66">
        <f>L87</f>
        <v>2</v>
      </c>
    </row>
    <row r="14" spans="1:86" ht="12.75" customHeight="1" x14ac:dyDescent="0.25">
      <c r="A14" s="11" t="s">
        <v>214</v>
      </c>
      <c r="B14" s="12">
        <v>2</v>
      </c>
      <c r="C14" s="12">
        <v>2</v>
      </c>
      <c r="D14" s="12">
        <v>2</v>
      </c>
      <c r="E14" s="12">
        <v>3</v>
      </c>
      <c r="F14" s="12">
        <v>3</v>
      </c>
      <c r="G14" s="12">
        <v>3</v>
      </c>
      <c r="H14" s="71">
        <v>4</v>
      </c>
      <c r="I14" s="71">
        <v>2</v>
      </c>
      <c r="J14" s="12">
        <v>2</v>
      </c>
      <c r="K14" s="12">
        <v>2</v>
      </c>
      <c r="L14" s="12">
        <v>2</v>
      </c>
      <c r="M14" s="12" t="s">
        <v>63</v>
      </c>
      <c r="N14" s="12">
        <f>M15</f>
        <v>1</v>
      </c>
      <c r="O14" s="12">
        <f>M16</f>
        <v>4</v>
      </c>
      <c r="P14" s="12">
        <f>M17</f>
        <v>2</v>
      </c>
      <c r="Q14" s="12">
        <f>M18</f>
        <v>3</v>
      </c>
      <c r="R14" s="12">
        <f>M19</f>
        <v>3</v>
      </c>
      <c r="S14" s="12">
        <f>M20</f>
        <v>2</v>
      </c>
      <c r="T14" s="12">
        <f>M21</f>
        <v>2</v>
      </c>
      <c r="U14" s="12">
        <f>M22</f>
        <v>4</v>
      </c>
      <c r="V14" s="12">
        <f>M23</f>
        <v>2</v>
      </c>
      <c r="W14" s="12">
        <f>M24</f>
        <v>2</v>
      </c>
      <c r="X14" s="12">
        <f>M25</f>
        <v>2</v>
      </c>
      <c r="Y14" s="12">
        <f>M26</f>
        <v>2</v>
      </c>
      <c r="Z14" s="12">
        <f>M27</f>
        <v>2</v>
      </c>
      <c r="AA14" s="12">
        <f>M28</f>
        <v>4</v>
      </c>
      <c r="AB14" s="12">
        <f>M29</f>
        <v>2</v>
      </c>
      <c r="AC14" s="12">
        <f>M30</f>
        <v>4</v>
      </c>
      <c r="AD14" s="12">
        <f>M31</f>
        <v>2</v>
      </c>
      <c r="AE14" s="12">
        <f>M32</f>
        <v>2</v>
      </c>
      <c r="AF14" s="12">
        <f>M33</f>
        <v>3</v>
      </c>
      <c r="AG14" s="12">
        <f>M34</f>
        <v>4</v>
      </c>
      <c r="AH14" s="12">
        <f>M35</f>
        <v>3</v>
      </c>
      <c r="AI14" s="12">
        <f>M36</f>
        <v>3</v>
      </c>
      <c r="AJ14" s="12">
        <f>M37</f>
        <v>4</v>
      </c>
      <c r="AK14" s="12">
        <f>M38</f>
        <v>2</v>
      </c>
      <c r="AL14" s="12">
        <f>M39</f>
        <v>2</v>
      </c>
      <c r="AM14" s="12">
        <f>M40</f>
        <v>2</v>
      </c>
      <c r="AN14" s="12">
        <f>M41</f>
        <v>2</v>
      </c>
      <c r="AO14" s="12">
        <f>M42</f>
        <v>2</v>
      </c>
      <c r="AP14" s="12">
        <f>M43</f>
        <v>2</v>
      </c>
      <c r="AQ14" s="12">
        <f>M44</f>
        <v>2</v>
      </c>
      <c r="AR14" s="12">
        <f>M45</f>
        <v>2</v>
      </c>
      <c r="AS14" s="12">
        <f>M46</f>
        <v>3</v>
      </c>
      <c r="AT14" s="12">
        <f>M47</f>
        <v>2</v>
      </c>
      <c r="AU14" s="12">
        <f>M48</f>
        <v>2</v>
      </c>
      <c r="AV14" s="12">
        <f>M49</f>
        <v>2</v>
      </c>
      <c r="AW14" s="12">
        <f>M50</f>
        <v>2</v>
      </c>
      <c r="AX14" s="12">
        <f>M51</f>
        <v>2</v>
      </c>
      <c r="AY14" s="12">
        <f>M52</f>
        <v>4</v>
      </c>
      <c r="AZ14" s="12">
        <f>M53</f>
        <v>3</v>
      </c>
      <c r="BA14" s="12">
        <f>M54</f>
        <v>2</v>
      </c>
      <c r="BB14" s="12">
        <f>M55</f>
        <v>3</v>
      </c>
      <c r="BC14" s="12">
        <f>M56</f>
        <v>4</v>
      </c>
      <c r="BD14" s="12">
        <f>M57</f>
        <v>4</v>
      </c>
      <c r="BE14" s="12">
        <f>M58</f>
        <v>2</v>
      </c>
      <c r="BF14" s="12">
        <f>N58</f>
        <v>1</v>
      </c>
      <c r="BG14" s="12">
        <f>M60</f>
        <v>2</v>
      </c>
      <c r="BH14" s="12">
        <f>M61</f>
        <v>2</v>
      </c>
      <c r="BI14" s="12">
        <f>M62</f>
        <v>2</v>
      </c>
      <c r="BJ14" s="12">
        <f>M63</f>
        <v>2</v>
      </c>
      <c r="BK14" s="12">
        <f>M64</f>
        <v>2</v>
      </c>
      <c r="BL14" s="12">
        <f>M65</f>
        <v>4</v>
      </c>
      <c r="BM14" s="12">
        <f>M66</f>
        <v>3</v>
      </c>
      <c r="BN14" s="12">
        <f>M67</f>
        <v>4</v>
      </c>
      <c r="BO14" s="12">
        <f>M68</f>
        <v>3</v>
      </c>
      <c r="BP14" s="12">
        <f>M69</f>
        <v>3</v>
      </c>
      <c r="BQ14" s="12">
        <f>M70</f>
        <v>2</v>
      </c>
      <c r="BR14" s="12">
        <f>M71</f>
        <v>3</v>
      </c>
      <c r="BS14" s="12">
        <f>M72</f>
        <v>2</v>
      </c>
      <c r="BT14" s="12">
        <f>M73</f>
        <v>2</v>
      </c>
      <c r="BU14" s="12">
        <f>M74</f>
        <v>2</v>
      </c>
      <c r="BV14" s="12">
        <f>M75</f>
        <v>3</v>
      </c>
      <c r="BW14" s="12">
        <f>M76</f>
        <v>2</v>
      </c>
      <c r="BX14" s="12">
        <f>M77</f>
        <v>2</v>
      </c>
      <c r="BY14" s="12">
        <f>M78</f>
        <v>2</v>
      </c>
      <c r="BZ14" s="12">
        <f>M79</f>
        <v>2</v>
      </c>
      <c r="CA14" s="12">
        <f>M80</f>
        <v>2</v>
      </c>
      <c r="CB14" s="12">
        <f>M81</f>
        <v>2</v>
      </c>
      <c r="CC14" s="12">
        <f>M82</f>
        <v>3</v>
      </c>
      <c r="CD14" s="12">
        <f>M83</f>
        <v>3</v>
      </c>
      <c r="CE14" s="12">
        <f>M84</f>
        <v>4</v>
      </c>
      <c r="CF14" s="12">
        <f>M85</f>
        <v>2</v>
      </c>
      <c r="CG14" s="12">
        <f>M86</f>
        <v>4</v>
      </c>
      <c r="CH14" s="66">
        <f>M87</f>
        <v>2</v>
      </c>
    </row>
    <row r="15" spans="1:86" ht="12.75" customHeight="1" x14ac:dyDescent="0.25">
      <c r="A15" s="11" t="s">
        <v>58</v>
      </c>
      <c r="B15" s="12">
        <v>1</v>
      </c>
      <c r="C15" s="12">
        <v>1</v>
      </c>
      <c r="D15" s="12">
        <v>1</v>
      </c>
      <c r="E15" s="12">
        <v>2</v>
      </c>
      <c r="F15" s="12">
        <v>2</v>
      </c>
      <c r="G15" s="12">
        <v>2</v>
      </c>
      <c r="H15" s="71">
        <v>3</v>
      </c>
      <c r="I15" s="71">
        <v>1</v>
      </c>
      <c r="J15" s="12">
        <v>1</v>
      </c>
      <c r="K15" s="12">
        <v>1</v>
      </c>
      <c r="L15" s="12">
        <v>1</v>
      </c>
      <c r="M15" s="12">
        <v>1</v>
      </c>
      <c r="N15" s="12" t="s">
        <v>63</v>
      </c>
      <c r="O15" s="12">
        <f>N16</f>
        <v>3</v>
      </c>
      <c r="P15" s="12">
        <f>N17</f>
        <v>1</v>
      </c>
      <c r="Q15" s="12">
        <f>N18</f>
        <v>2</v>
      </c>
      <c r="R15" s="12">
        <f>N19</f>
        <v>2</v>
      </c>
      <c r="S15" s="12">
        <f>N20</f>
        <v>1</v>
      </c>
      <c r="T15" s="12">
        <f>N21</f>
        <v>1</v>
      </c>
      <c r="U15" s="12">
        <f>N22</f>
        <v>3</v>
      </c>
      <c r="V15" s="12">
        <f>N23</f>
        <v>1</v>
      </c>
      <c r="W15" s="12">
        <f>N24</f>
        <v>1</v>
      </c>
      <c r="X15" s="12">
        <f>N25</f>
        <v>1</v>
      </c>
      <c r="Y15" s="12">
        <f>N26</f>
        <v>1</v>
      </c>
      <c r="Z15" s="12">
        <f>N27</f>
        <v>1</v>
      </c>
      <c r="AA15" s="12">
        <f>N28</f>
        <v>3</v>
      </c>
      <c r="AB15" s="12">
        <f>N29</f>
        <v>1</v>
      </c>
      <c r="AC15" s="12">
        <f>O29</f>
        <v>4</v>
      </c>
      <c r="AD15" s="12">
        <f>N31</f>
        <v>1</v>
      </c>
      <c r="AE15" s="12">
        <f>N32</f>
        <v>1</v>
      </c>
      <c r="AF15" s="12">
        <f>N33</f>
        <v>2</v>
      </c>
      <c r="AG15" s="12">
        <f>N34</f>
        <v>3</v>
      </c>
      <c r="AH15" s="12">
        <f>N35</f>
        <v>2</v>
      </c>
      <c r="AI15" s="12">
        <f>N36</f>
        <v>2</v>
      </c>
      <c r="AJ15" s="12">
        <f>N37</f>
        <v>3</v>
      </c>
      <c r="AK15" s="12">
        <f>N38</f>
        <v>1</v>
      </c>
      <c r="AL15" s="12">
        <f>N39</f>
        <v>1</v>
      </c>
      <c r="AM15" s="12">
        <f>N40</f>
        <v>1</v>
      </c>
      <c r="AN15" s="12">
        <f>N41</f>
        <v>1</v>
      </c>
      <c r="AO15" s="12">
        <f>N42</f>
        <v>1</v>
      </c>
      <c r="AP15" s="12">
        <f>N43</f>
        <v>1</v>
      </c>
      <c r="AQ15" s="12">
        <f>N44</f>
        <v>1</v>
      </c>
      <c r="AR15" s="12">
        <f>N45</f>
        <v>1</v>
      </c>
      <c r="AS15" s="12">
        <f>N46</f>
        <v>2</v>
      </c>
      <c r="AT15" s="12">
        <f>N47</f>
        <v>1</v>
      </c>
      <c r="AU15" s="12">
        <f>N48</f>
        <v>1</v>
      </c>
      <c r="AV15" s="12">
        <f>N49</f>
        <v>1</v>
      </c>
      <c r="AW15" s="12">
        <f>N50</f>
        <v>1</v>
      </c>
      <c r="AX15" s="12">
        <f>N51</f>
        <v>1</v>
      </c>
      <c r="AY15" s="12">
        <f>N52</f>
        <v>3</v>
      </c>
      <c r="AZ15" s="12">
        <f>N53</f>
        <v>2</v>
      </c>
      <c r="BA15" s="12">
        <f>N54</f>
        <v>1</v>
      </c>
      <c r="BB15" s="12">
        <f>N55</f>
        <v>2</v>
      </c>
      <c r="BC15" s="12">
        <f>N56</f>
        <v>3</v>
      </c>
      <c r="BD15" s="12">
        <f>N57</f>
        <v>3</v>
      </c>
      <c r="BE15" s="12">
        <f>N58</f>
        <v>1</v>
      </c>
      <c r="BF15" s="12">
        <f>O58</f>
        <v>3</v>
      </c>
      <c r="BG15" s="12">
        <f>N60</f>
        <v>1</v>
      </c>
      <c r="BH15" s="12">
        <f>N61</f>
        <v>1</v>
      </c>
      <c r="BI15" s="12">
        <f>N62</f>
        <v>1</v>
      </c>
      <c r="BJ15" s="12">
        <f>N63</f>
        <v>1</v>
      </c>
      <c r="BK15" s="12">
        <f>N64</f>
        <v>1</v>
      </c>
      <c r="BL15" s="12">
        <f>N65</f>
        <v>3</v>
      </c>
      <c r="BM15" s="12">
        <f>N66</f>
        <v>2</v>
      </c>
      <c r="BN15" s="12">
        <f>N67</f>
        <v>3</v>
      </c>
      <c r="BO15" s="12">
        <f>N68</f>
        <v>2</v>
      </c>
      <c r="BP15" s="12">
        <f>N69</f>
        <v>2</v>
      </c>
      <c r="BQ15" s="12">
        <f>N70</f>
        <v>1</v>
      </c>
      <c r="BR15" s="12">
        <f>N71</f>
        <v>2</v>
      </c>
      <c r="BS15" s="12">
        <f>N72</f>
        <v>1</v>
      </c>
      <c r="BT15" s="12">
        <f>N73</f>
        <v>1</v>
      </c>
      <c r="BU15" s="12">
        <f>N74</f>
        <v>1</v>
      </c>
      <c r="BV15" s="12">
        <f>N75</f>
        <v>2</v>
      </c>
      <c r="BW15" s="12">
        <f>N76</f>
        <v>1</v>
      </c>
      <c r="BX15" s="12">
        <f>N77</f>
        <v>1</v>
      </c>
      <c r="BY15" s="12">
        <f>N78</f>
        <v>1</v>
      </c>
      <c r="BZ15" s="12">
        <f>N79</f>
        <v>1</v>
      </c>
      <c r="CA15" s="12">
        <f>N80</f>
        <v>1</v>
      </c>
      <c r="CB15" s="12">
        <f>N81</f>
        <v>1</v>
      </c>
      <c r="CC15" s="12">
        <f>N82</f>
        <v>2</v>
      </c>
      <c r="CD15" s="12">
        <f>N83</f>
        <v>2</v>
      </c>
      <c r="CE15" s="12">
        <f>N84</f>
        <v>3</v>
      </c>
      <c r="CF15" s="12">
        <f>N85</f>
        <v>1</v>
      </c>
      <c r="CG15" s="12">
        <f>N86</f>
        <v>3</v>
      </c>
      <c r="CH15" s="15">
        <f>N87</f>
        <v>1</v>
      </c>
    </row>
    <row r="16" spans="1:86" ht="12.75" customHeight="1" x14ac:dyDescent="0.25">
      <c r="A16" s="11" t="s">
        <v>245</v>
      </c>
      <c r="B16" s="12">
        <v>4</v>
      </c>
      <c r="C16" s="12">
        <v>4</v>
      </c>
      <c r="D16" s="12">
        <v>4</v>
      </c>
      <c r="E16" s="12">
        <v>4</v>
      </c>
      <c r="F16" s="12">
        <v>4</v>
      </c>
      <c r="G16" s="12">
        <v>4</v>
      </c>
      <c r="H16" s="71">
        <v>4</v>
      </c>
      <c r="I16" s="71">
        <v>3</v>
      </c>
      <c r="J16" s="12">
        <v>3</v>
      </c>
      <c r="K16" s="12">
        <v>4</v>
      </c>
      <c r="L16" s="12">
        <v>4</v>
      </c>
      <c r="M16" s="12">
        <v>4</v>
      </c>
      <c r="N16" s="12">
        <v>3</v>
      </c>
      <c r="O16" s="12" t="s">
        <v>63</v>
      </c>
      <c r="P16" s="12">
        <f>O17</f>
        <v>4</v>
      </c>
      <c r="Q16" s="12">
        <f>O18</f>
        <v>4</v>
      </c>
      <c r="R16" s="12">
        <f>O19</f>
        <v>4</v>
      </c>
      <c r="S16" s="12">
        <f>O20</f>
        <v>3</v>
      </c>
      <c r="T16" s="12">
        <f>O21</f>
        <v>4</v>
      </c>
      <c r="U16" s="12">
        <f>O22</f>
        <v>4</v>
      </c>
      <c r="V16" s="12">
        <f>O23</f>
        <v>4</v>
      </c>
      <c r="W16" s="12">
        <f>O24</f>
        <v>4</v>
      </c>
      <c r="X16" s="12">
        <f>O25</f>
        <v>4</v>
      </c>
      <c r="Y16" s="12">
        <f>O26</f>
        <v>4</v>
      </c>
      <c r="Z16" s="12">
        <f>O27</f>
        <v>4</v>
      </c>
      <c r="AA16" s="12">
        <f>O28</f>
        <v>4</v>
      </c>
      <c r="AB16" s="12">
        <f>O29</f>
        <v>4</v>
      </c>
      <c r="AC16" s="12">
        <f>O30</f>
        <v>4</v>
      </c>
      <c r="AD16" s="12">
        <f>P30</f>
        <v>4</v>
      </c>
      <c r="AE16" s="12">
        <f>O32</f>
        <v>4</v>
      </c>
      <c r="AF16" s="12">
        <f>Q30</f>
        <v>4</v>
      </c>
      <c r="AG16" s="12">
        <f>O34</f>
        <v>4</v>
      </c>
      <c r="AH16" s="12">
        <f>O35</f>
        <v>4</v>
      </c>
      <c r="AI16" s="12">
        <f>O36</f>
        <v>4</v>
      </c>
      <c r="AJ16" s="12">
        <f>O37</f>
        <v>4</v>
      </c>
      <c r="AK16" s="12">
        <f>O38</f>
        <v>3</v>
      </c>
      <c r="AL16" s="12">
        <f>O39</f>
        <v>4</v>
      </c>
      <c r="AM16" s="12">
        <f>O40</f>
        <v>4</v>
      </c>
      <c r="AN16" s="12">
        <f>O41</f>
        <v>4</v>
      </c>
      <c r="AO16" s="12">
        <f>O42</f>
        <v>4</v>
      </c>
      <c r="AP16" s="12">
        <f>O43</f>
        <v>3</v>
      </c>
      <c r="AQ16" s="12">
        <f>O44</f>
        <v>4</v>
      </c>
      <c r="AR16" s="12">
        <f>O45</f>
        <v>4</v>
      </c>
      <c r="AS16" s="12">
        <f>O46</f>
        <v>4</v>
      </c>
      <c r="AT16" s="12">
        <f>O47</f>
        <v>4</v>
      </c>
      <c r="AU16" s="12">
        <f>O48</f>
        <v>3</v>
      </c>
      <c r="AV16" s="12">
        <f>O49</f>
        <v>3</v>
      </c>
      <c r="AW16" s="12">
        <f>O50</f>
        <v>4</v>
      </c>
      <c r="AX16" s="12">
        <f>O51</f>
        <v>3</v>
      </c>
      <c r="AY16" s="12">
        <f>O52</f>
        <v>4</v>
      </c>
      <c r="AZ16" s="12">
        <f>O53</f>
        <v>4</v>
      </c>
      <c r="BA16" s="12">
        <f>O54</f>
        <v>3</v>
      </c>
      <c r="BB16" s="12">
        <f>O55</f>
        <v>4</v>
      </c>
      <c r="BC16" s="12">
        <f>O56</f>
        <v>4</v>
      </c>
      <c r="BD16" s="12">
        <f>O57</f>
        <v>4</v>
      </c>
      <c r="BE16" s="12">
        <f>O58</f>
        <v>3</v>
      </c>
      <c r="BF16" s="12">
        <f>P58</f>
        <v>2</v>
      </c>
      <c r="BG16" s="12">
        <f>O60</f>
        <v>4</v>
      </c>
      <c r="BH16" s="12">
        <f>O61</f>
        <v>3</v>
      </c>
      <c r="BI16" s="12">
        <f>O62</f>
        <v>3</v>
      </c>
      <c r="BJ16" s="12">
        <f>O63</f>
        <v>4</v>
      </c>
      <c r="BK16" s="12">
        <f>O64</f>
        <v>4</v>
      </c>
      <c r="BL16" s="12">
        <f>O65</f>
        <v>4</v>
      </c>
      <c r="BM16" s="12">
        <f>O66</f>
        <v>4</v>
      </c>
      <c r="BN16" s="12">
        <f>O67</f>
        <v>4</v>
      </c>
      <c r="BO16" s="12">
        <f>O68</f>
        <v>4</v>
      </c>
      <c r="BP16" s="12">
        <f>O69</f>
        <v>4</v>
      </c>
      <c r="BQ16" s="12">
        <f>O70</f>
        <v>3</v>
      </c>
      <c r="BR16" s="12">
        <f>O71</f>
        <v>4</v>
      </c>
      <c r="BS16" s="12">
        <f>O72</f>
        <v>4</v>
      </c>
      <c r="BT16" s="12">
        <f>O73</f>
        <v>3</v>
      </c>
      <c r="BU16" s="12">
        <f>O74</f>
        <v>3</v>
      </c>
      <c r="BV16" s="12">
        <f>O75</f>
        <v>4</v>
      </c>
      <c r="BW16" s="12">
        <f>O76</f>
        <v>4</v>
      </c>
      <c r="BX16" s="12">
        <f>O77</f>
        <v>4</v>
      </c>
      <c r="BY16" s="12">
        <f>O78</f>
        <v>3</v>
      </c>
      <c r="BZ16" s="12">
        <f>O79</f>
        <v>3</v>
      </c>
      <c r="CA16" s="12">
        <f>O80</f>
        <v>2</v>
      </c>
      <c r="CB16" s="12">
        <f>O81</f>
        <v>4</v>
      </c>
      <c r="CC16" s="12">
        <f>O82</f>
        <v>4</v>
      </c>
      <c r="CD16" s="12">
        <f>O83</f>
        <v>4</v>
      </c>
      <c r="CE16" s="12">
        <f>O84</f>
        <v>4</v>
      </c>
      <c r="CF16" s="12">
        <f>O85</f>
        <v>3</v>
      </c>
      <c r="CG16" s="12">
        <f>O86</f>
        <v>4</v>
      </c>
      <c r="CH16" s="15">
        <f>O87</f>
        <v>4</v>
      </c>
    </row>
    <row r="17" spans="1:86" ht="12.75" customHeight="1" x14ac:dyDescent="0.25">
      <c r="A17" s="11" t="s">
        <v>211</v>
      </c>
      <c r="B17" s="12">
        <v>2</v>
      </c>
      <c r="C17" s="12">
        <v>2</v>
      </c>
      <c r="D17" s="12">
        <v>2</v>
      </c>
      <c r="E17" s="12">
        <v>3</v>
      </c>
      <c r="F17" s="12">
        <v>3</v>
      </c>
      <c r="G17" s="12">
        <v>3</v>
      </c>
      <c r="H17" s="71">
        <v>4</v>
      </c>
      <c r="I17" s="71">
        <v>2</v>
      </c>
      <c r="J17" s="12">
        <v>2</v>
      </c>
      <c r="K17" s="12">
        <v>2</v>
      </c>
      <c r="L17" s="12">
        <v>2</v>
      </c>
      <c r="M17" s="12">
        <v>2</v>
      </c>
      <c r="N17" s="12">
        <v>1</v>
      </c>
      <c r="O17" s="12">
        <v>4</v>
      </c>
      <c r="P17" s="12" t="s">
        <v>63</v>
      </c>
      <c r="Q17" s="12">
        <f>P18</f>
        <v>3</v>
      </c>
      <c r="R17" s="12">
        <f>P19</f>
        <v>3</v>
      </c>
      <c r="S17" s="12">
        <f>P20</f>
        <v>2</v>
      </c>
      <c r="T17" s="12">
        <f>P21</f>
        <v>2</v>
      </c>
      <c r="U17" s="12">
        <f>P22</f>
        <v>4</v>
      </c>
      <c r="V17" s="12">
        <f>P23</f>
        <v>2</v>
      </c>
      <c r="W17" s="12">
        <f>P24</f>
        <v>2</v>
      </c>
      <c r="X17" s="12">
        <f>P25</f>
        <v>2</v>
      </c>
      <c r="Y17" s="12">
        <f>P26</f>
        <v>2</v>
      </c>
      <c r="Z17" s="12">
        <f>P27</f>
        <v>2</v>
      </c>
      <c r="AA17" s="12">
        <f>P28</f>
        <v>4</v>
      </c>
      <c r="AB17" s="12">
        <f>P29</f>
        <v>2</v>
      </c>
      <c r="AC17" s="12">
        <f>P30</f>
        <v>4</v>
      </c>
      <c r="AD17" s="12">
        <f>P31</f>
        <v>2</v>
      </c>
      <c r="AE17" s="12">
        <f>Q31</f>
        <v>3</v>
      </c>
      <c r="AF17" s="12">
        <f>P33</f>
        <v>3</v>
      </c>
      <c r="AG17" s="12">
        <f>P34</f>
        <v>4</v>
      </c>
      <c r="AH17" s="12">
        <f>P35</f>
        <v>3</v>
      </c>
      <c r="AI17" s="12">
        <f>P36</f>
        <v>3</v>
      </c>
      <c r="AJ17" s="12">
        <f>P37</f>
        <v>4</v>
      </c>
      <c r="AK17" s="12">
        <f>P38</f>
        <v>2</v>
      </c>
      <c r="AL17" s="12">
        <f>P39</f>
        <v>2</v>
      </c>
      <c r="AM17" s="12">
        <f>P40</f>
        <v>2</v>
      </c>
      <c r="AN17" s="12">
        <f>P41</f>
        <v>2</v>
      </c>
      <c r="AO17" s="12">
        <f>P42</f>
        <v>2</v>
      </c>
      <c r="AP17" s="12">
        <f>P43</f>
        <v>2</v>
      </c>
      <c r="AQ17" s="12">
        <f>P44</f>
        <v>2</v>
      </c>
      <c r="AR17" s="12">
        <f>P45</f>
        <v>2</v>
      </c>
      <c r="AS17" s="12">
        <f>P46</f>
        <v>3</v>
      </c>
      <c r="AT17" s="12">
        <f>P47</f>
        <v>2</v>
      </c>
      <c r="AU17" s="12">
        <f>P48</f>
        <v>2</v>
      </c>
      <c r="AV17" s="12">
        <f>P49</f>
        <v>2</v>
      </c>
      <c r="AW17" s="12">
        <f>P50</f>
        <v>2</v>
      </c>
      <c r="AX17" s="12">
        <f>P51</f>
        <v>2</v>
      </c>
      <c r="AY17" s="12">
        <f>P52</f>
        <v>4</v>
      </c>
      <c r="AZ17" s="12">
        <f>P53</f>
        <v>3</v>
      </c>
      <c r="BA17" s="12">
        <f>P54</f>
        <v>2</v>
      </c>
      <c r="BB17" s="12">
        <f>P55</f>
        <v>3</v>
      </c>
      <c r="BC17" s="12">
        <f>P56</f>
        <v>4</v>
      </c>
      <c r="BD17" s="12">
        <f>P57</f>
        <v>4</v>
      </c>
      <c r="BE17" s="12">
        <f>P58</f>
        <v>2</v>
      </c>
      <c r="BF17" s="12">
        <f>Q58</f>
        <v>2</v>
      </c>
      <c r="BG17" s="12">
        <f>P60</f>
        <v>2</v>
      </c>
      <c r="BH17" s="12">
        <f>P61</f>
        <v>2</v>
      </c>
      <c r="BI17" s="12">
        <f>P62</f>
        <v>2</v>
      </c>
      <c r="BJ17" s="12">
        <f>P63</f>
        <v>2</v>
      </c>
      <c r="BK17" s="12">
        <f>P64</f>
        <v>2</v>
      </c>
      <c r="BL17" s="12">
        <f>P65</f>
        <v>4</v>
      </c>
      <c r="BM17" s="12">
        <f>P66</f>
        <v>3</v>
      </c>
      <c r="BN17" s="12">
        <f>P67</f>
        <v>4</v>
      </c>
      <c r="BO17" s="12">
        <f>P68</f>
        <v>3</v>
      </c>
      <c r="BP17" s="12">
        <f>P69</f>
        <v>3</v>
      </c>
      <c r="BQ17" s="12">
        <f>P70</f>
        <v>2</v>
      </c>
      <c r="BR17" s="12">
        <f>P71</f>
        <v>3</v>
      </c>
      <c r="BS17" s="12">
        <f>P72</f>
        <v>2</v>
      </c>
      <c r="BT17" s="12">
        <f>P73</f>
        <v>2</v>
      </c>
      <c r="BU17" s="12">
        <f>P74</f>
        <v>2</v>
      </c>
      <c r="BV17" s="12">
        <f>P75</f>
        <v>3</v>
      </c>
      <c r="BW17" s="12">
        <f>P76</f>
        <v>2</v>
      </c>
      <c r="BX17" s="12">
        <f>P77</f>
        <v>2</v>
      </c>
      <c r="BY17" s="12">
        <f>P78</f>
        <v>2</v>
      </c>
      <c r="BZ17" s="12">
        <f>P79</f>
        <v>2</v>
      </c>
      <c r="CA17" s="12">
        <f>P80</f>
        <v>2</v>
      </c>
      <c r="CB17" s="12">
        <f>P81</f>
        <v>2</v>
      </c>
      <c r="CC17" s="12">
        <f>P82</f>
        <v>3</v>
      </c>
      <c r="CD17" s="12">
        <f>P83</f>
        <v>3</v>
      </c>
      <c r="CE17" s="12">
        <f>P84</f>
        <v>4</v>
      </c>
      <c r="CF17" s="12">
        <f>P85</f>
        <v>2</v>
      </c>
      <c r="CG17" s="12">
        <f>P86</f>
        <v>4</v>
      </c>
      <c r="CH17" s="66">
        <f>P87</f>
        <v>2</v>
      </c>
    </row>
    <row r="18" spans="1:86" ht="12.75" customHeight="1" x14ac:dyDescent="0.25">
      <c r="A18" s="11" t="s">
        <v>65</v>
      </c>
      <c r="B18" s="12">
        <v>3</v>
      </c>
      <c r="C18" s="12">
        <v>3</v>
      </c>
      <c r="D18" s="12">
        <v>3</v>
      </c>
      <c r="E18" s="12">
        <v>4</v>
      </c>
      <c r="F18" s="12">
        <v>4</v>
      </c>
      <c r="G18" s="12">
        <v>4</v>
      </c>
      <c r="H18" s="71">
        <v>4</v>
      </c>
      <c r="I18" s="71">
        <v>3</v>
      </c>
      <c r="J18" s="12">
        <v>3</v>
      </c>
      <c r="K18" s="12">
        <v>3</v>
      </c>
      <c r="L18" s="12">
        <v>3</v>
      </c>
      <c r="M18" s="12">
        <v>3</v>
      </c>
      <c r="N18" s="12">
        <v>2</v>
      </c>
      <c r="O18" s="12">
        <v>4</v>
      </c>
      <c r="P18" s="12">
        <v>3</v>
      </c>
      <c r="Q18" s="12" t="s">
        <v>63</v>
      </c>
      <c r="R18" s="12">
        <f>Q19</f>
        <v>4</v>
      </c>
      <c r="S18" s="12">
        <f>Q20</f>
        <v>3</v>
      </c>
      <c r="T18" s="12">
        <f>Q21</f>
        <v>3</v>
      </c>
      <c r="U18" s="12">
        <f>Q22</f>
        <v>4</v>
      </c>
      <c r="V18" s="12">
        <f>Q23</f>
        <v>3</v>
      </c>
      <c r="W18" s="12">
        <f>Q24</f>
        <v>3</v>
      </c>
      <c r="X18" s="12">
        <f>Q25</f>
        <v>4</v>
      </c>
      <c r="Y18" s="12">
        <f>Q26</f>
        <v>3</v>
      </c>
      <c r="Z18" s="12">
        <f>Q27</f>
        <v>3</v>
      </c>
      <c r="AA18" s="12">
        <f>Q28</f>
        <v>4</v>
      </c>
      <c r="AB18" s="12">
        <f>Q29</f>
        <v>3</v>
      </c>
      <c r="AC18" s="12">
        <f>Q30</f>
        <v>4</v>
      </c>
      <c r="AD18" s="12">
        <f>Q31</f>
        <v>3</v>
      </c>
      <c r="AE18" s="12">
        <f>Q32</f>
        <v>3</v>
      </c>
      <c r="AF18" s="12">
        <f>Q33</f>
        <v>4</v>
      </c>
      <c r="AG18" s="12">
        <f>R33</f>
        <v>3</v>
      </c>
      <c r="AH18" s="12">
        <f>Q35</f>
        <v>4</v>
      </c>
      <c r="AI18" s="12">
        <f>Q36</f>
        <v>4</v>
      </c>
      <c r="AJ18" s="12">
        <f>Q37</f>
        <v>3</v>
      </c>
      <c r="AK18" s="12">
        <f>Q38</f>
        <v>1</v>
      </c>
      <c r="AL18" s="12">
        <f>Q39</f>
        <v>4</v>
      </c>
      <c r="AM18" s="12">
        <f>Q40</f>
        <v>3</v>
      </c>
      <c r="AN18" s="12">
        <f>Q41</f>
        <v>3</v>
      </c>
      <c r="AO18" s="12">
        <f>Q42</f>
        <v>4</v>
      </c>
      <c r="AP18" s="12">
        <f>Q43</f>
        <v>3</v>
      </c>
      <c r="AQ18" s="12">
        <f>Q44</f>
        <v>3</v>
      </c>
      <c r="AR18" s="12">
        <f>Q45</f>
        <v>3</v>
      </c>
      <c r="AS18" s="12">
        <f>Q46</f>
        <v>4</v>
      </c>
      <c r="AT18" s="12">
        <f>Q47</f>
        <v>3</v>
      </c>
      <c r="AU18" s="12">
        <f>Q48</f>
        <v>3</v>
      </c>
      <c r="AV18" s="12">
        <f>Q49</f>
        <v>3</v>
      </c>
      <c r="AW18" s="12">
        <f>Q50</f>
        <v>4</v>
      </c>
      <c r="AX18" s="12">
        <f>Q51</f>
        <v>1</v>
      </c>
      <c r="AY18" s="12">
        <f>Q52</f>
        <v>4</v>
      </c>
      <c r="AZ18" s="12">
        <f>Q53</f>
        <v>4</v>
      </c>
      <c r="BA18" s="12">
        <f>Q54</f>
        <v>3</v>
      </c>
      <c r="BB18" s="12">
        <f>Q55</f>
        <v>2</v>
      </c>
      <c r="BC18" s="12">
        <f>Q56</f>
        <v>4</v>
      </c>
      <c r="BD18" s="12">
        <f>Q57</f>
        <v>4</v>
      </c>
      <c r="BE18" s="12">
        <f>Q58</f>
        <v>2</v>
      </c>
      <c r="BF18" s="12">
        <f>R58</f>
        <v>1</v>
      </c>
      <c r="BG18" s="12">
        <f>Q60</f>
        <v>3</v>
      </c>
      <c r="BH18" s="12">
        <f>Q61</f>
        <v>3</v>
      </c>
      <c r="BI18" s="12">
        <f>Q62</f>
        <v>3</v>
      </c>
      <c r="BJ18" s="12">
        <f>Q63</f>
        <v>3</v>
      </c>
      <c r="BK18" s="12">
        <f>Q64</f>
        <v>3</v>
      </c>
      <c r="BL18" s="12">
        <f>Q65</f>
        <v>4</v>
      </c>
      <c r="BM18" s="12">
        <f>Q66</f>
        <v>2</v>
      </c>
      <c r="BN18" s="12">
        <f>Q67</f>
        <v>4</v>
      </c>
      <c r="BO18" s="12">
        <f>Q68</f>
        <v>4</v>
      </c>
      <c r="BP18" s="12">
        <f>Q69</f>
        <v>4</v>
      </c>
      <c r="BQ18" s="12">
        <f>Q70</f>
        <v>3</v>
      </c>
      <c r="BR18" s="12">
        <f>Q71</f>
        <v>4</v>
      </c>
      <c r="BS18" s="12">
        <f>Q72</f>
        <v>4</v>
      </c>
      <c r="BT18" s="12">
        <f>Q73</f>
        <v>3</v>
      </c>
      <c r="BU18" s="12">
        <f>Q74</f>
        <v>3</v>
      </c>
      <c r="BV18" s="12">
        <f>Q75</f>
        <v>4</v>
      </c>
      <c r="BW18" s="12">
        <f>Q76</f>
        <v>3</v>
      </c>
      <c r="BX18" s="12">
        <f>Q77</f>
        <v>3</v>
      </c>
      <c r="BY18" s="12">
        <f>Q78</f>
        <v>3</v>
      </c>
      <c r="BZ18" s="12">
        <f>Q79</f>
        <v>3</v>
      </c>
      <c r="CA18" s="12">
        <f>Q80</f>
        <v>3</v>
      </c>
      <c r="CB18" s="12">
        <f>Q81</f>
        <v>3</v>
      </c>
      <c r="CC18" s="12">
        <f>Q82</f>
        <v>4</v>
      </c>
      <c r="CD18" s="12">
        <f>Q83</f>
        <v>4</v>
      </c>
      <c r="CE18" s="12">
        <f>Q84</f>
        <v>4</v>
      </c>
      <c r="CF18" s="12">
        <f>Q85</f>
        <v>3</v>
      </c>
      <c r="CG18" s="12">
        <f>Q86</f>
        <v>4</v>
      </c>
      <c r="CH18" s="15">
        <f>Q87</f>
        <v>4</v>
      </c>
    </row>
    <row r="19" spans="1:86" ht="12.75" customHeight="1" x14ac:dyDescent="0.25">
      <c r="A19" s="11" t="s">
        <v>33</v>
      </c>
      <c r="B19" s="12">
        <v>3</v>
      </c>
      <c r="C19" s="12">
        <v>3</v>
      </c>
      <c r="D19" s="12">
        <v>3</v>
      </c>
      <c r="E19" s="12">
        <v>3</v>
      </c>
      <c r="F19" s="12">
        <v>4</v>
      </c>
      <c r="G19" s="12">
        <v>4</v>
      </c>
      <c r="H19" s="71">
        <v>4</v>
      </c>
      <c r="I19" s="71">
        <v>3</v>
      </c>
      <c r="J19" s="12">
        <v>3</v>
      </c>
      <c r="K19" s="12">
        <v>3</v>
      </c>
      <c r="L19" s="12">
        <v>3</v>
      </c>
      <c r="M19" s="12">
        <v>3</v>
      </c>
      <c r="N19" s="12">
        <v>2</v>
      </c>
      <c r="O19" s="12">
        <v>4</v>
      </c>
      <c r="P19" s="12">
        <v>3</v>
      </c>
      <c r="Q19" s="12">
        <v>4</v>
      </c>
      <c r="R19" s="12" t="s">
        <v>63</v>
      </c>
      <c r="S19" s="12">
        <f>R20</f>
        <v>3</v>
      </c>
      <c r="T19" s="12">
        <f>R21</f>
        <v>3</v>
      </c>
      <c r="U19" s="12">
        <f>R22</f>
        <v>4</v>
      </c>
      <c r="V19" s="12">
        <f>R23</f>
        <v>3</v>
      </c>
      <c r="W19" s="12">
        <f>R24</f>
        <v>3</v>
      </c>
      <c r="X19" s="12">
        <f>R25</f>
        <v>4</v>
      </c>
      <c r="Y19" s="12">
        <f>R26</f>
        <v>3</v>
      </c>
      <c r="Z19" s="12">
        <f>R27</f>
        <v>3</v>
      </c>
      <c r="AA19" s="12">
        <f>R28</f>
        <v>4</v>
      </c>
      <c r="AB19" s="12">
        <f>R29</f>
        <v>3</v>
      </c>
      <c r="AC19" s="12">
        <f>R30</f>
        <v>4</v>
      </c>
      <c r="AD19" s="12">
        <f>R31</f>
        <v>3</v>
      </c>
      <c r="AE19" s="12">
        <f>R32</f>
        <v>3</v>
      </c>
      <c r="AF19" s="12">
        <f>R33</f>
        <v>3</v>
      </c>
      <c r="AG19" s="12">
        <f>R34</f>
        <v>4</v>
      </c>
      <c r="AH19" s="12">
        <f>S34</f>
        <v>3</v>
      </c>
      <c r="AI19" s="12">
        <f>R36</f>
        <v>4</v>
      </c>
      <c r="AJ19" s="12">
        <f>R37</f>
        <v>4</v>
      </c>
      <c r="AK19" s="12">
        <f>R38</f>
        <v>2</v>
      </c>
      <c r="AL19" s="12">
        <f>R39</f>
        <v>4</v>
      </c>
      <c r="AM19" s="12">
        <f>R40</f>
        <v>3</v>
      </c>
      <c r="AN19" s="12">
        <f>R41</f>
        <v>3</v>
      </c>
      <c r="AO19" s="12">
        <f>R42</f>
        <v>4</v>
      </c>
      <c r="AP19" s="12">
        <f>R43</f>
        <v>2</v>
      </c>
      <c r="AQ19" s="12">
        <f>R44</f>
        <v>3</v>
      </c>
      <c r="AR19" s="12">
        <f>R45</f>
        <v>3</v>
      </c>
      <c r="AS19" s="12">
        <f>R46</f>
        <v>4</v>
      </c>
      <c r="AT19" s="12">
        <f>R47</f>
        <v>3</v>
      </c>
      <c r="AU19" s="12">
        <f>R48</f>
        <v>2</v>
      </c>
      <c r="AV19" s="12">
        <f>R49</f>
        <v>2</v>
      </c>
      <c r="AW19" s="12">
        <f>R50</f>
        <v>4</v>
      </c>
      <c r="AX19" s="12">
        <f>R51</f>
        <v>2</v>
      </c>
      <c r="AY19" s="12">
        <f>R52</f>
        <v>4</v>
      </c>
      <c r="AZ19" s="12">
        <f>R53</f>
        <v>4</v>
      </c>
      <c r="BA19" s="12">
        <f>R54</f>
        <v>3</v>
      </c>
      <c r="BB19" s="12">
        <f>R55</f>
        <v>4</v>
      </c>
      <c r="BC19" s="12">
        <f>R56</f>
        <v>4</v>
      </c>
      <c r="BD19" s="12">
        <f>R57</f>
        <v>4</v>
      </c>
      <c r="BE19" s="12">
        <f>R58</f>
        <v>1</v>
      </c>
      <c r="BF19" s="12">
        <f>S58</f>
        <v>1</v>
      </c>
      <c r="BG19" s="12">
        <f>R60</f>
        <v>3</v>
      </c>
      <c r="BH19" s="12">
        <f>R61</f>
        <v>2</v>
      </c>
      <c r="BI19" s="12">
        <f>R62</f>
        <v>2</v>
      </c>
      <c r="BJ19" s="12">
        <f>R63</f>
        <v>3</v>
      </c>
      <c r="BK19" s="12">
        <f>R64</f>
        <v>3</v>
      </c>
      <c r="BL19" s="12">
        <f>R65</f>
        <v>4</v>
      </c>
      <c r="BM19" s="12">
        <f>R66</f>
        <v>4</v>
      </c>
      <c r="BN19" s="12">
        <f>R67</f>
        <v>4</v>
      </c>
      <c r="BO19" s="12">
        <f>R68</f>
        <v>4</v>
      </c>
      <c r="BP19" s="12">
        <f>R69</f>
        <v>4</v>
      </c>
      <c r="BQ19" s="12">
        <f>R70</f>
        <v>2</v>
      </c>
      <c r="BR19" s="12">
        <f>R71</f>
        <v>3</v>
      </c>
      <c r="BS19" s="12">
        <f>R72</f>
        <v>4</v>
      </c>
      <c r="BT19" s="12">
        <f>R73</f>
        <v>3</v>
      </c>
      <c r="BU19" s="12">
        <f>R74</f>
        <v>3</v>
      </c>
      <c r="BV19" s="12">
        <f>R75</f>
        <v>4</v>
      </c>
      <c r="BW19" s="12">
        <f>R76</f>
        <v>3</v>
      </c>
      <c r="BX19" s="12">
        <f>R77</f>
        <v>3</v>
      </c>
      <c r="BY19" s="12">
        <f>R78</f>
        <v>3</v>
      </c>
      <c r="BZ19" s="12">
        <f>R79</f>
        <v>3</v>
      </c>
      <c r="CA19" s="12">
        <f>R80</f>
        <v>2</v>
      </c>
      <c r="CB19" s="12">
        <f>R81</f>
        <v>3</v>
      </c>
      <c r="CC19" s="12">
        <f>R82</f>
        <v>4</v>
      </c>
      <c r="CD19" s="12">
        <f>R83</f>
        <v>4</v>
      </c>
      <c r="CE19" s="12">
        <f>R84</f>
        <v>4</v>
      </c>
      <c r="CF19" s="12">
        <f>R85</f>
        <v>3</v>
      </c>
      <c r="CG19" s="12">
        <f>R86</f>
        <v>4</v>
      </c>
      <c r="CH19" s="15">
        <f>R87</f>
        <v>4</v>
      </c>
    </row>
    <row r="20" spans="1:86" ht="12.75" customHeight="1" x14ac:dyDescent="0.25">
      <c r="A20" s="11" t="s">
        <v>15</v>
      </c>
      <c r="B20" s="12">
        <v>2</v>
      </c>
      <c r="C20" s="12">
        <v>2</v>
      </c>
      <c r="D20" s="12">
        <v>2</v>
      </c>
      <c r="E20" s="12">
        <v>3</v>
      </c>
      <c r="F20" s="12">
        <v>2</v>
      </c>
      <c r="G20" s="12">
        <v>3</v>
      </c>
      <c r="H20" s="71">
        <v>3</v>
      </c>
      <c r="I20" s="71">
        <v>1</v>
      </c>
      <c r="J20" s="12">
        <v>1</v>
      </c>
      <c r="K20" s="12">
        <v>2</v>
      </c>
      <c r="L20" s="12">
        <v>2</v>
      </c>
      <c r="M20" s="12">
        <v>2</v>
      </c>
      <c r="N20" s="12">
        <v>1</v>
      </c>
      <c r="O20" s="12">
        <v>3</v>
      </c>
      <c r="P20" s="12">
        <v>2</v>
      </c>
      <c r="Q20" s="12">
        <v>3</v>
      </c>
      <c r="R20" s="12">
        <v>3</v>
      </c>
      <c r="S20" s="12" t="s">
        <v>63</v>
      </c>
      <c r="T20" s="12">
        <f>S21</f>
        <v>2</v>
      </c>
      <c r="U20" s="12">
        <f>S22</f>
        <v>3</v>
      </c>
      <c r="V20" s="12">
        <f>S23</f>
        <v>2</v>
      </c>
      <c r="W20" s="12">
        <f>S24</f>
        <v>2</v>
      </c>
      <c r="X20" s="12">
        <f>S25</f>
        <v>3</v>
      </c>
      <c r="Y20" s="12">
        <f>S26</f>
        <v>2</v>
      </c>
      <c r="Z20" s="12">
        <f>S27</f>
        <v>2</v>
      </c>
      <c r="AA20" s="12">
        <f>S28</f>
        <v>3</v>
      </c>
      <c r="AB20" s="12">
        <f>S29</f>
        <v>2</v>
      </c>
      <c r="AC20" s="12">
        <f>S30</f>
        <v>3</v>
      </c>
      <c r="AD20" s="12">
        <f>S31</f>
        <v>2</v>
      </c>
      <c r="AE20" s="12">
        <f>S32</f>
        <v>2</v>
      </c>
      <c r="AF20" s="12">
        <f>S33</f>
        <v>3</v>
      </c>
      <c r="AG20" s="12">
        <f>S34</f>
        <v>3</v>
      </c>
      <c r="AH20" s="12">
        <f>S35</f>
        <v>2</v>
      </c>
      <c r="AI20" s="12">
        <f>T35</f>
        <v>3</v>
      </c>
      <c r="AJ20" s="12">
        <f>S37</f>
        <v>3</v>
      </c>
      <c r="AK20" s="12">
        <f>S38</f>
        <v>2</v>
      </c>
      <c r="AL20" s="12">
        <f>S39</f>
        <v>3</v>
      </c>
      <c r="AM20" s="12">
        <f>S40</f>
        <v>2</v>
      </c>
      <c r="AN20" s="12">
        <f>S41</f>
        <v>2</v>
      </c>
      <c r="AO20" s="12">
        <f>S42</f>
        <v>3</v>
      </c>
      <c r="AP20" s="12">
        <f>S43</f>
        <v>2</v>
      </c>
      <c r="AQ20" s="12">
        <f>S44</f>
        <v>2</v>
      </c>
      <c r="AR20" s="12">
        <f>S45</f>
        <v>2</v>
      </c>
      <c r="AS20" s="12">
        <f>S46</f>
        <v>3</v>
      </c>
      <c r="AT20" s="12">
        <f>S47</f>
        <v>2</v>
      </c>
      <c r="AU20" s="12">
        <f>S48</f>
        <v>2</v>
      </c>
      <c r="AV20" s="12">
        <f>S49</f>
        <v>2</v>
      </c>
      <c r="AW20" s="12">
        <f>S50</f>
        <v>3</v>
      </c>
      <c r="AX20" s="12">
        <f>S51</f>
        <v>2</v>
      </c>
      <c r="AY20" s="12">
        <f>S52</f>
        <v>3</v>
      </c>
      <c r="AZ20" s="12">
        <f>S53</f>
        <v>1</v>
      </c>
      <c r="BA20" s="12">
        <f>S54</f>
        <v>2</v>
      </c>
      <c r="BB20" s="12">
        <f>S55</f>
        <v>3</v>
      </c>
      <c r="BC20" s="12">
        <f>S56</f>
        <v>3</v>
      </c>
      <c r="BD20" s="12">
        <f>S57</f>
        <v>3</v>
      </c>
      <c r="BE20" s="12">
        <f>S58</f>
        <v>1</v>
      </c>
      <c r="BF20" s="12">
        <f>T58</f>
        <v>2</v>
      </c>
      <c r="BG20" s="12">
        <f>S60</f>
        <v>2</v>
      </c>
      <c r="BH20" s="12">
        <f>S61</f>
        <v>2</v>
      </c>
      <c r="BI20" s="12">
        <f>S62</f>
        <v>2</v>
      </c>
      <c r="BJ20" s="12">
        <f>S63</f>
        <v>2</v>
      </c>
      <c r="BK20" s="12">
        <f>S64</f>
        <v>2</v>
      </c>
      <c r="BL20" s="12">
        <f>S65</f>
        <v>3</v>
      </c>
      <c r="BM20" s="12">
        <f>S66</f>
        <v>3</v>
      </c>
      <c r="BN20" s="12">
        <f>S67</f>
        <v>3</v>
      </c>
      <c r="BO20" s="12">
        <f>S68</f>
        <v>3</v>
      </c>
      <c r="BP20" s="12">
        <f>S69</f>
        <v>3</v>
      </c>
      <c r="BQ20" s="12">
        <f>S70</f>
        <v>2</v>
      </c>
      <c r="BR20" s="12">
        <f>S71</f>
        <v>3</v>
      </c>
      <c r="BS20" s="12">
        <f>S72</f>
        <v>3</v>
      </c>
      <c r="BT20" s="12">
        <f>S73</f>
        <v>2</v>
      </c>
      <c r="BU20" s="12">
        <f>S74</f>
        <v>2</v>
      </c>
      <c r="BV20" s="12">
        <f>S75</f>
        <v>3</v>
      </c>
      <c r="BW20" s="12">
        <f>S76</f>
        <v>2</v>
      </c>
      <c r="BX20" s="12">
        <f>S77</f>
        <v>2</v>
      </c>
      <c r="BY20" s="12">
        <f>S78</f>
        <v>2</v>
      </c>
      <c r="BZ20" s="12">
        <f>S79</f>
        <v>1</v>
      </c>
      <c r="CA20" s="12">
        <f>S80</f>
        <v>2</v>
      </c>
      <c r="CB20" s="12">
        <f>S81</f>
        <v>2</v>
      </c>
      <c r="CC20" s="12">
        <f>S82</f>
        <v>2</v>
      </c>
      <c r="CD20" s="12">
        <f>S83</f>
        <v>3</v>
      </c>
      <c r="CE20" s="12">
        <f>S84</f>
        <v>3</v>
      </c>
      <c r="CF20" s="12">
        <f>S85</f>
        <v>2</v>
      </c>
      <c r="CG20" s="12">
        <f>S86</f>
        <v>3</v>
      </c>
      <c r="CH20" s="15">
        <f>S87</f>
        <v>3</v>
      </c>
    </row>
    <row r="21" spans="1:86" ht="12.75" customHeight="1" x14ac:dyDescent="0.25">
      <c r="A21" s="11" t="s">
        <v>213</v>
      </c>
      <c r="B21" s="12">
        <v>2</v>
      </c>
      <c r="C21" s="12">
        <v>2</v>
      </c>
      <c r="D21" s="12">
        <v>2</v>
      </c>
      <c r="E21" s="12">
        <v>3</v>
      </c>
      <c r="F21" s="12">
        <v>3</v>
      </c>
      <c r="G21" s="12">
        <v>3</v>
      </c>
      <c r="H21" s="71">
        <v>4</v>
      </c>
      <c r="I21" s="71">
        <v>2</v>
      </c>
      <c r="J21" s="12">
        <v>2</v>
      </c>
      <c r="K21" s="12">
        <v>2</v>
      </c>
      <c r="L21" s="12">
        <v>2</v>
      </c>
      <c r="M21" s="12">
        <v>2</v>
      </c>
      <c r="N21" s="12">
        <v>1</v>
      </c>
      <c r="O21" s="12">
        <v>4</v>
      </c>
      <c r="P21" s="12">
        <v>2</v>
      </c>
      <c r="Q21" s="12">
        <v>3</v>
      </c>
      <c r="R21" s="12">
        <v>3</v>
      </c>
      <c r="S21" s="12">
        <v>2</v>
      </c>
      <c r="T21" s="12" t="s">
        <v>63</v>
      </c>
      <c r="U21" s="12">
        <f>T22</f>
        <v>4</v>
      </c>
      <c r="V21" s="12">
        <f>T23</f>
        <v>2</v>
      </c>
      <c r="W21" s="12">
        <f>T24</f>
        <v>2</v>
      </c>
      <c r="X21" s="12">
        <f>T25</f>
        <v>2</v>
      </c>
      <c r="Y21" s="12">
        <f>T26</f>
        <v>2</v>
      </c>
      <c r="Z21" s="12">
        <f>T27</f>
        <v>2</v>
      </c>
      <c r="AA21" s="12">
        <f>T28</f>
        <v>4</v>
      </c>
      <c r="AB21" s="12">
        <f>T29</f>
        <v>2</v>
      </c>
      <c r="AC21" s="12">
        <f>T30</f>
        <v>4</v>
      </c>
      <c r="AD21" s="12">
        <f>T31</f>
        <v>2</v>
      </c>
      <c r="AE21" s="12">
        <f>T32</f>
        <v>2</v>
      </c>
      <c r="AF21" s="12">
        <f>T33</f>
        <v>3</v>
      </c>
      <c r="AG21" s="12">
        <f>T34</f>
        <v>4</v>
      </c>
      <c r="AH21" s="12">
        <f>T35</f>
        <v>3</v>
      </c>
      <c r="AI21" s="12">
        <f>T36</f>
        <v>3</v>
      </c>
      <c r="AJ21" s="12">
        <f>U36</f>
        <v>4</v>
      </c>
      <c r="AK21" s="12">
        <f>T38</f>
        <v>2</v>
      </c>
      <c r="AL21" s="12">
        <f>T39</f>
        <v>2</v>
      </c>
      <c r="AM21" s="12">
        <f>T40</f>
        <v>2</v>
      </c>
      <c r="AN21" s="12">
        <f>T41</f>
        <v>2</v>
      </c>
      <c r="AO21" s="12">
        <f>T42</f>
        <v>2</v>
      </c>
      <c r="AP21" s="12">
        <f>T43</f>
        <v>2</v>
      </c>
      <c r="AQ21" s="12">
        <f>T44</f>
        <v>2</v>
      </c>
      <c r="AR21" s="12">
        <f>T45</f>
        <v>2</v>
      </c>
      <c r="AS21" s="12">
        <f>T46</f>
        <v>3</v>
      </c>
      <c r="AT21" s="12">
        <f>T47</f>
        <v>2</v>
      </c>
      <c r="AU21" s="12">
        <f>T48</f>
        <v>2</v>
      </c>
      <c r="AV21" s="12">
        <f>T49</f>
        <v>2</v>
      </c>
      <c r="AW21" s="12">
        <f>T50</f>
        <v>2</v>
      </c>
      <c r="AX21" s="12">
        <f>T51</f>
        <v>2</v>
      </c>
      <c r="AY21" s="12">
        <f>T52</f>
        <v>4</v>
      </c>
      <c r="AZ21" s="12">
        <f>T53</f>
        <v>3</v>
      </c>
      <c r="BA21" s="12">
        <f>T54</f>
        <v>2</v>
      </c>
      <c r="BB21" s="12">
        <f>T55</f>
        <v>3</v>
      </c>
      <c r="BC21" s="12">
        <f>T56</f>
        <v>4</v>
      </c>
      <c r="BD21" s="12">
        <f>T57</f>
        <v>4</v>
      </c>
      <c r="BE21" s="12">
        <f>T58</f>
        <v>2</v>
      </c>
      <c r="BF21" s="12">
        <f>U58</f>
        <v>3</v>
      </c>
      <c r="BG21" s="12">
        <f>T60</f>
        <v>2</v>
      </c>
      <c r="BH21" s="12">
        <f>T61</f>
        <v>2</v>
      </c>
      <c r="BI21" s="12">
        <f>T62</f>
        <v>2</v>
      </c>
      <c r="BJ21" s="12">
        <f>T63</f>
        <v>2</v>
      </c>
      <c r="BK21" s="12">
        <f>T64</f>
        <v>2</v>
      </c>
      <c r="BL21" s="12">
        <f>T65</f>
        <v>4</v>
      </c>
      <c r="BM21" s="12">
        <f>T66</f>
        <v>3</v>
      </c>
      <c r="BN21" s="12">
        <f>T67</f>
        <v>4</v>
      </c>
      <c r="BO21" s="12">
        <f>T68</f>
        <v>3</v>
      </c>
      <c r="BP21" s="12">
        <f>T69</f>
        <v>3</v>
      </c>
      <c r="BQ21" s="12">
        <f>T70</f>
        <v>2</v>
      </c>
      <c r="BR21" s="12">
        <f>T71</f>
        <v>3</v>
      </c>
      <c r="BS21" s="12">
        <f>T72</f>
        <v>2</v>
      </c>
      <c r="BT21" s="12">
        <f>T73</f>
        <v>2</v>
      </c>
      <c r="BU21" s="12">
        <f>T74</f>
        <v>2</v>
      </c>
      <c r="BV21" s="12">
        <f>T75</f>
        <v>3</v>
      </c>
      <c r="BW21" s="12">
        <f>T76</f>
        <v>2</v>
      </c>
      <c r="BX21" s="12">
        <f>T77</f>
        <v>2</v>
      </c>
      <c r="BY21" s="12">
        <f>T78</f>
        <v>2</v>
      </c>
      <c r="BZ21" s="12">
        <f>T79</f>
        <v>2</v>
      </c>
      <c r="CA21" s="12">
        <f>T80</f>
        <v>2</v>
      </c>
      <c r="CB21" s="12">
        <f>T81</f>
        <v>2</v>
      </c>
      <c r="CC21" s="12">
        <f>T82</f>
        <v>3</v>
      </c>
      <c r="CD21" s="12">
        <f>T83</f>
        <v>3</v>
      </c>
      <c r="CE21" s="12">
        <f>T84</f>
        <v>4</v>
      </c>
      <c r="CF21" s="12">
        <f>T85</f>
        <v>2</v>
      </c>
      <c r="CG21" s="12">
        <f>T86</f>
        <v>4</v>
      </c>
      <c r="CH21" s="15">
        <f>T87</f>
        <v>2</v>
      </c>
    </row>
    <row r="22" spans="1:86" ht="12.75" customHeight="1" x14ac:dyDescent="0.25">
      <c r="A22" s="11" t="s">
        <v>51</v>
      </c>
      <c r="B22" s="12">
        <v>4</v>
      </c>
      <c r="C22" s="12">
        <v>4</v>
      </c>
      <c r="D22" s="12">
        <v>4</v>
      </c>
      <c r="E22" s="12">
        <v>4</v>
      </c>
      <c r="F22" s="12">
        <v>4</v>
      </c>
      <c r="G22" s="12">
        <v>4</v>
      </c>
      <c r="H22" s="71">
        <v>4</v>
      </c>
      <c r="I22" s="71">
        <v>3</v>
      </c>
      <c r="J22" s="12">
        <v>3</v>
      </c>
      <c r="K22" s="12">
        <v>4</v>
      </c>
      <c r="L22" s="12">
        <v>4</v>
      </c>
      <c r="M22" s="12">
        <v>4</v>
      </c>
      <c r="N22" s="12">
        <v>3</v>
      </c>
      <c r="O22" s="12">
        <v>4</v>
      </c>
      <c r="P22" s="12">
        <v>4</v>
      </c>
      <c r="Q22" s="12">
        <v>4</v>
      </c>
      <c r="R22" s="12">
        <v>4</v>
      </c>
      <c r="S22" s="12">
        <v>3</v>
      </c>
      <c r="T22" s="12">
        <v>4</v>
      </c>
      <c r="U22" s="12" t="s">
        <v>63</v>
      </c>
      <c r="V22" s="12">
        <f>U23</f>
        <v>4</v>
      </c>
      <c r="W22" s="12">
        <f>U24</f>
        <v>4</v>
      </c>
      <c r="X22" s="12">
        <f>U25</f>
        <v>4</v>
      </c>
      <c r="Y22" s="12">
        <f>U26</f>
        <v>4</v>
      </c>
      <c r="Z22" s="12">
        <f>U27</f>
        <v>4</v>
      </c>
      <c r="AA22" s="12">
        <f>U28</f>
        <v>4</v>
      </c>
      <c r="AB22" s="12">
        <f>U29</f>
        <v>4</v>
      </c>
      <c r="AC22" s="12">
        <f>U30</f>
        <v>4</v>
      </c>
      <c r="AD22" s="12">
        <f>U31</f>
        <v>4</v>
      </c>
      <c r="AE22" s="12">
        <f>U32</f>
        <v>4</v>
      </c>
      <c r="AF22" s="12">
        <f>U33</f>
        <v>4</v>
      </c>
      <c r="AG22" s="12">
        <f>U34</f>
        <v>4</v>
      </c>
      <c r="AH22" s="12">
        <f>U35</f>
        <v>4</v>
      </c>
      <c r="AI22" s="12">
        <f>U36</f>
        <v>4</v>
      </c>
      <c r="AJ22" s="12">
        <f>U37</f>
        <v>4</v>
      </c>
      <c r="AK22" s="12">
        <f>W37</f>
        <v>4</v>
      </c>
      <c r="AL22" s="12">
        <f>U39</f>
        <v>4</v>
      </c>
      <c r="AM22" s="12">
        <f>U40</f>
        <v>4</v>
      </c>
      <c r="AN22" s="12">
        <f>U41</f>
        <v>4</v>
      </c>
      <c r="AO22" s="12">
        <f>U42</f>
        <v>4</v>
      </c>
      <c r="AP22" s="12">
        <f>U43</f>
        <v>3</v>
      </c>
      <c r="AQ22" s="12">
        <f>U44</f>
        <v>4</v>
      </c>
      <c r="AR22" s="12">
        <f>U45</f>
        <v>4</v>
      </c>
      <c r="AS22" s="12">
        <f>U46</f>
        <v>4</v>
      </c>
      <c r="AT22" s="12">
        <f>U47</f>
        <v>4</v>
      </c>
      <c r="AU22" s="12">
        <f>U48</f>
        <v>3</v>
      </c>
      <c r="AV22" s="12">
        <f>U49</f>
        <v>3</v>
      </c>
      <c r="AW22" s="12">
        <f>U50</f>
        <v>4</v>
      </c>
      <c r="AX22" s="12">
        <f>U51</f>
        <v>3</v>
      </c>
      <c r="AY22" s="12">
        <f>U52</f>
        <v>4</v>
      </c>
      <c r="AZ22" s="12">
        <f>U53</f>
        <v>4</v>
      </c>
      <c r="BA22" s="12">
        <f>U54</f>
        <v>2</v>
      </c>
      <c r="BB22" s="12">
        <f>U55</f>
        <v>4</v>
      </c>
      <c r="BC22" s="12">
        <f>U56</f>
        <v>4</v>
      </c>
      <c r="BD22" s="12">
        <f>U57</f>
        <v>4</v>
      </c>
      <c r="BE22" s="12">
        <f>U58</f>
        <v>3</v>
      </c>
      <c r="BF22" s="12">
        <f>V58</f>
        <v>2</v>
      </c>
      <c r="BG22" s="12">
        <f>U60</f>
        <v>4</v>
      </c>
      <c r="BH22" s="12">
        <f>U61</f>
        <v>3</v>
      </c>
      <c r="BI22" s="12">
        <f>U62</f>
        <v>3</v>
      </c>
      <c r="BJ22" s="12">
        <f>U63</f>
        <v>4</v>
      </c>
      <c r="BK22" s="12">
        <f>U64</f>
        <v>4</v>
      </c>
      <c r="BL22" s="12">
        <f>U65</f>
        <v>4</v>
      </c>
      <c r="BM22" s="12">
        <f>U66</f>
        <v>4</v>
      </c>
      <c r="BN22" s="12">
        <f>U67</f>
        <v>4</v>
      </c>
      <c r="BO22" s="12">
        <f>U68</f>
        <v>4</v>
      </c>
      <c r="BP22" s="12">
        <f>U69</f>
        <v>4</v>
      </c>
      <c r="BQ22" s="12">
        <f>U70</f>
        <v>3</v>
      </c>
      <c r="BR22" s="12">
        <f>U71</f>
        <v>4</v>
      </c>
      <c r="BS22" s="12">
        <f>U72</f>
        <v>4</v>
      </c>
      <c r="BT22" s="12">
        <f>U73</f>
        <v>3</v>
      </c>
      <c r="BU22" s="12">
        <f>U74</f>
        <v>3</v>
      </c>
      <c r="BV22" s="12">
        <f>U75</f>
        <v>4</v>
      </c>
      <c r="BW22" s="12">
        <f>U76</f>
        <v>4</v>
      </c>
      <c r="BX22" s="12">
        <f>U77</f>
        <v>4</v>
      </c>
      <c r="BY22" s="12">
        <f>U78</f>
        <v>3</v>
      </c>
      <c r="BZ22" s="12">
        <f>U79</f>
        <v>3</v>
      </c>
      <c r="CA22" s="12">
        <f>U80</f>
        <v>3</v>
      </c>
      <c r="CB22" s="12">
        <f>U81</f>
        <v>4</v>
      </c>
      <c r="CC22" s="12">
        <f>U82</f>
        <v>4</v>
      </c>
      <c r="CD22" s="12">
        <f>U83</f>
        <v>4</v>
      </c>
      <c r="CE22" s="12">
        <f>U84</f>
        <v>4</v>
      </c>
      <c r="CF22" s="12">
        <f>U85</f>
        <v>3</v>
      </c>
      <c r="CG22" s="12">
        <f>U86</f>
        <v>4</v>
      </c>
      <c r="CH22" s="15">
        <f>U87</f>
        <v>4</v>
      </c>
    </row>
    <row r="23" spans="1:86" ht="12.75" customHeight="1" x14ac:dyDescent="0.25">
      <c r="A23" s="11" t="s">
        <v>44</v>
      </c>
      <c r="B23" s="12">
        <v>2</v>
      </c>
      <c r="C23" s="12">
        <v>2</v>
      </c>
      <c r="D23" s="12">
        <v>2</v>
      </c>
      <c r="E23" s="12">
        <v>3</v>
      </c>
      <c r="F23" s="12">
        <v>3</v>
      </c>
      <c r="G23" s="12">
        <v>3</v>
      </c>
      <c r="H23" s="71">
        <v>4</v>
      </c>
      <c r="I23" s="71">
        <v>2</v>
      </c>
      <c r="J23" s="12">
        <v>2</v>
      </c>
      <c r="K23" s="12">
        <v>2</v>
      </c>
      <c r="L23" s="12">
        <v>2</v>
      </c>
      <c r="M23" s="12">
        <v>2</v>
      </c>
      <c r="N23" s="12">
        <v>1</v>
      </c>
      <c r="O23" s="12">
        <v>4</v>
      </c>
      <c r="P23" s="12">
        <v>2</v>
      </c>
      <c r="Q23" s="12">
        <v>3</v>
      </c>
      <c r="R23" s="12">
        <v>3</v>
      </c>
      <c r="S23" s="12">
        <v>2</v>
      </c>
      <c r="T23" s="12">
        <v>2</v>
      </c>
      <c r="U23" s="12">
        <v>4</v>
      </c>
      <c r="V23" s="12" t="s">
        <v>63</v>
      </c>
      <c r="W23" s="12">
        <f>V24</f>
        <v>2</v>
      </c>
      <c r="X23" s="12">
        <f>V25</f>
        <v>2</v>
      </c>
      <c r="Y23" s="12">
        <f>V26</f>
        <v>2</v>
      </c>
      <c r="Z23" s="12">
        <f>V27</f>
        <v>2</v>
      </c>
      <c r="AA23" s="12">
        <f>V28</f>
        <v>4</v>
      </c>
      <c r="AB23" s="12">
        <f>V29</f>
        <v>2</v>
      </c>
      <c r="AC23" s="12">
        <f>V30</f>
        <v>4</v>
      </c>
      <c r="AD23" s="12">
        <f>V31</f>
        <v>2</v>
      </c>
      <c r="AE23" s="12">
        <f>V32</f>
        <v>2</v>
      </c>
      <c r="AF23" s="12">
        <f>V33</f>
        <v>3</v>
      </c>
      <c r="AG23" s="12">
        <f>V34</f>
        <v>4</v>
      </c>
      <c r="AH23" s="12">
        <f>V35</f>
        <v>3</v>
      </c>
      <c r="AI23" s="12">
        <f>V36</f>
        <v>3</v>
      </c>
      <c r="AJ23" s="12">
        <f>V37</f>
        <v>3</v>
      </c>
      <c r="AK23" s="12">
        <f>V38</f>
        <v>3</v>
      </c>
      <c r="AL23" s="12">
        <f>V39</f>
        <v>2</v>
      </c>
      <c r="AM23" s="12">
        <f>V40</f>
        <v>2</v>
      </c>
      <c r="AN23" s="12">
        <f>V41</f>
        <v>2</v>
      </c>
      <c r="AO23" s="12">
        <f>V42</f>
        <v>2</v>
      </c>
      <c r="AP23" s="12">
        <f>V43</f>
        <v>2</v>
      </c>
      <c r="AQ23" s="12">
        <f>V44</f>
        <v>2</v>
      </c>
      <c r="AR23" s="12">
        <f>V45</f>
        <v>2</v>
      </c>
      <c r="AS23" s="12">
        <f>V46</f>
        <v>3</v>
      </c>
      <c r="AT23" s="12">
        <f>V47</f>
        <v>2</v>
      </c>
      <c r="AU23" s="12">
        <f>V48</f>
        <v>2</v>
      </c>
      <c r="AV23" s="12">
        <f>V49</f>
        <v>2</v>
      </c>
      <c r="AW23" s="12">
        <f>V50</f>
        <v>3</v>
      </c>
      <c r="AX23" s="12">
        <f>V51</f>
        <v>2</v>
      </c>
      <c r="AY23" s="12">
        <f>V52</f>
        <v>4</v>
      </c>
      <c r="AZ23" s="12">
        <f>V53</f>
        <v>3</v>
      </c>
      <c r="BA23" s="12">
        <f>V54</f>
        <v>2</v>
      </c>
      <c r="BB23" s="12">
        <f>V55</f>
        <v>3</v>
      </c>
      <c r="BC23" s="12">
        <f>V56</f>
        <v>4</v>
      </c>
      <c r="BD23" s="12">
        <f>V57</f>
        <v>4</v>
      </c>
      <c r="BE23" s="12">
        <f>V58</f>
        <v>2</v>
      </c>
      <c r="BF23" s="12">
        <f>W58</f>
        <v>2</v>
      </c>
      <c r="BG23" s="12">
        <f>V60</f>
        <v>2</v>
      </c>
      <c r="BH23" s="12">
        <f>V61</f>
        <v>2</v>
      </c>
      <c r="BI23" s="12">
        <f>V62</f>
        <v>2</v>
      </c>
      <c r="BJ23" s="12">
        <f>V63</f>
        <v>2</v>
      </c>
      <c r="BK23" s="12">
        <f>V64</f>
        <v>2</v>
      </c>
      <c r="BL23" s="12">
        <f>V65</f>
        <v>4</v>
      </c>
      <c r="BM23" s="12">
        <f>V66</f>
        <v>3</v>
      </c>
      <c r="BN23" s="12">
        <f>V67</f>
        <v>4</v>
      </c>
      <c r="BO23" s="12">
        <f>V68</f>
        <v>3</v>
      </c>
      <c r="BP23" s="12">
        <f>V69</f>
        <v>3</v>
      </c>
      <c r="BQ23" s="12">
        <f>V70</f>
        <v>2</v>
      </c>
      <c r="BR23" s="12">
        <f>V71</f>
        <v>3</v>
      </c>
      <c r="BS23" s="12">
        <f>V72</f>
        <v>2</v>
      </c>
      <c r="BT23" s="12">
        <f>V73</f>
        <v>2</v>
      </c>
      <c r="BU23" s="12">
        <f>V74</f>
        <v>2</v>
      </c>
      <c r="BV23" s="12">
        <f>V75</f>
        <v>3</v>
      </c>
      <c r="BW23" s="12">
        <f>V76</f>
        <v>2</v>
      </c>
      <c r="BX23" s="12">
        <f>V77</f>
        <v>2</v>
      </c>
      <c r="BY23" s="12">
        <f>V78</f>
        <v>2</v>
      </c>
      <c r="BZ23" s="12">
        <f>V79</f>
        <v>2</v>
      </c>
      <c r="CA23" s="12">
        <f>V80</f>
        <v>2</v>
      </c>
      <c r="CB23" s="12">
        <f>V81</f>
        <v>2</v>
      </c>
      <c r="CC23" s="12">
        <f>V82</f>
        <v>3</v>
      </c>
      <c r="CD23" s="12">
        <f>V83</f>
        <v>3</v>
      </c>
      <c r="CE23" s="12">
        <f>V84</f>
        <v>4</v>
      </c>
      <c r="CF23" s="12">
        <f>V85</f>
        <v>2</v>
      </c>
      <c r="CG23" s="12">
        <f>V86</f>
        <v>4</v>
      </c>
      <c r="CH23" s="66">
        <f>V87</f>
        <v>2</v>
      </c>
    </row>
    <row r="24" spans="1:86" ht="12.75" customHeight="1" x14ac:dyDescent="0.25">
      <c r="A24" s="11" t="s">
        <v>284</v>
      </c>
      <c r="B24" s="12">
        <v>2</v>
      </c>
      <c r="C24" s="12">
        <v>2</v>
      </c>
      <c r="D24" s="12">
        <v>2</v>
      </c>
      <c r="E24" s="12">
        <v>3</v>
      </c>
      <c r="F24" s="12">
        <v>3</v>
      </c>
      <c r="G24" s="12">
        <v>3</v>
      </c>
      <c r="H24" s="71">
        <v>4</v>
      </c>
      <c r="I24" s="71">
        <v>2</v>
      </c>
      <c r="J24" s="12">
        <v>2</v>
      </c>
      <c r="K24" s="12">
        <v>2</v>
      </c>
      <c r="L24" s="12">
        <v>2</v>
      </c>
      <c r="M24" s="12">
        <v>2</v>
      </c>
      <c r="N24" s="12">
        <v>1</v>
      </c>
      <c r="O24" s="12">
        <v>4</v>
      </c>
      <c r="P24" s="12">
        <v>2</v>
      </c>
      <c r="Q24" s="12">
        <v>3</v>
      </c>
      <c r="R24" s="12">
        <v>3</v>
      </c>
      <c r="S24" s="12">
        <v>2</v>
      </c>
      <c r="T24" s="12">
        <v>2</v>
      </c>
      <c r="U24" s="12">
        <v>4</v>
      </c>
      <c r="V24" s="12">
        <v>2</v>
      </c>
      <c r="W24" s="12" t="s">
        <v>63</v>
      </c>
      <c r="X24" s="12">
        <f>W25</f>
        <v>2</v>
      </c>
      <c r="Y24" s="12">
        <f>W26</f>
        <v>2</v>
      </c>
      <c r="Z24" s="12">
        <f>W27</f>
        <v>2</v>
      </c>
      <c r="AA24" s="12">
        <f>W28</f>
        <v>4</v>
      </c>
      <c r="AB24" s="12">
        <f>W29</f>
        <v>2</v>
      </c>
      <c r="AC24" s="12">
        <f>W30</f>
        <v>4</v>
      </c>
      <c r="AD24" s="12">
        <f>W31</f>
        <v>2</v>
      </c>
      <c r="AE24" s="12">
        <f>W32</f>
        <v>2</v>
      </c>
      <c r="AF24" s="12">
        <f>W33</f>
        <v>3</v>
      </c>
      <c r="AG24" s="12">
        <f>W34</f>
        <v>4</v>
      </c>
      <c r="AH24" s="12">
        <f>W35</f>
        <v>3</v>
      </c>
      <c r="AI24" s="12">
        <f>W36</f>
        <v>3</v>
      </c>
      <c r="AJ24" s="12">
        <f>W37</f>
        <v>4</v>
      </c>
      <c r="AK24" s="12">
        <f>W38</f>
        <v>2</v>
      </c>
      <c r="AL24" s="12">
        <f>X38</f>
        <v>3</v>
      </c>
      <c r="AM24" s="12">
        <f>W40</f>
        <v>2</v>
      </c>
      <c r="AN24" s="12">
        <f>W41</f>
        <v>2</v>
      </c>
      <c r="AO24" s="12">
        <f>W42</f>
        <v>2</v>
      </c>
      <c r="AP24" s="12">
        <f>W43</f>
        <v>2</v>
      </c>
      <c r="AQ24" s="12">
        <f>W44</f>
        <v>2</v>
      </c>
      <c r="AR24" s="12">
        <f>W45</f>
        <v>2</v>
      </c>
      <c r="AS24" s="12">
        <f>W46</f>
        <v>3</v>
      </c>
      <c r="AT24" s="12">
        <f>W47</f>
        <v>2</v>
      </c>
      <c r="AU24" s="12">
        <f>W48</f>
        <v>2</v>
      </c>
      <c r="AV24" s="12">
        <f>W49</f>
        <v>2</v>
      </c>
      <c r="AW24" s="12">
        <f>W50</f>
        <v>2</v>
      </c>
      <c r="AX24" s="12">
        <f>W51</f>
        <v>2</v>
      </c>
      <c r="AY24" s="12">
        <f>W52</f>
        <v>4</v>
      </c>
      <c r="AZ24" s="12">
        <f>W53</f>
        <v>3</v>
      </c>
      <c r="BA24" s="12">
        <f>W54</f>
        <v>2</v>
      </c>
      <c r="BB24" s="12">
        <f>W55</f>
        <v>3</v>
      </c>
      <c r="BC24" s="12">
        <f>W56</f>
        <v>4</v>
      </c>
      <c r="BD24" s="12">
        <f>W57</f>
        <v>4</v>
      </c>
      <c r="BE24" s="12">
        <f>W58</f>
        <v>2</v>
      </c>
      <c r="BF24" s="12">
        <f>X58</f>
        <v>2</v>
      </c>
      <c r="BG24" s="12">
        <f>W60</f>
        <v>2</v>
      </c>
      <c r="BH24" s="12">
        <f>W61</f>
        <v>2</v>
      </c>
      <c r="BI24" s="12">
        <f>W62</f>
        <v>2</v>
      </c>
      <c r="BJ24" s="12">
        <f>W63</f>
        <v>2</v>
      </c>
      <c r="BK24" s="12">
        <f>W64</f>
        <v>2</v>
      </c>
      <c r="BL24" s="12">
        <f>W65</f>
        <v>4</v>
      </c>
      <c r="BM24" s="12">
        <f>W66</f>
        <v>3</v>
      </c>
      <c r="BN24" s="12">
        <f>W67</f>
        <v>4</v>
      </c>
      <c r="BO24" s="12">
        <f>W68</f>
        <v>3</v>
      </c>
      <c r="BP24" s="12">
        <f>W69</f>
        <v>3</v>
      </c>
      <c r="BQ24" s="12">
        <f>W70</f>
        <v>2</v>
      </c>
      <c r="BR24" s="12">
        <f>W71</f>
        <v>3</v>
      </c>
      <c r="BS24" s="12">
        <f>W72</f>
        <v>2</v>
      </c>
      <c r="BT24" s="12">
        <f>W73</f>
        <v>2</v>
      </c>
      <c r="BU24" s="12">
        <f>W74</f>
        <v>2</v>
      </c>
      <c r="BV24" s="12">
        <f>W75</f>
        <v>3</v>
      </c>
      <c r="BW24" s="12">
        <f>W76</f>
        <v>2</v>
      </c>
      <c r="BX24" s="12">
        <f>W77</f>
        <v>2</v>
      </c>
      <c r="BY24" s="12">
        <f>W78</f>
        <v>2</v>
      </c>
      <c r="BZ24" s="12">
        <f>W79</f>
        <v>2</v>
      </c>
      <c r="CA24" s="12">
        <f>W80</f>
        <v>2</v>
      </c>
      <c r="CB24" s="12">
        <f>W81</f>
        <v>2</v>
      </c>
      <c r="CC24" s="12">
        <f>W82</f>
        <v>3</v>
      </c>
      <c r="CD24" s="12">
        <f>W83</f>
        <v>3</v>
      </c>
      <c r="CE24" s="12">
        <f>W84</f>
        <v>4</v>
      </c>
      <c r="CF24" s="12">
        <f>W85</f>
        <v>2</v>
      </c>
      <c r="CG24" s="12">
        <f>W86</f>
        <v>4</v>
      </c>
      <c r="CH24" s="15">
        <f>W87</f>
        <v>2</v>
      </c>
    </row>
    <row r="25" spans="1:86" ht="12.75" customHeight="1" x14ac:dyDescent="0.25">
      <c r="A25" s="11" t="s">
        <v>16</v>
      </c>
      <c r="B25" s="12">
        <v>2</v>
      </c>
      <c r="C25" s="12">
        <v>2</v>
      </c>
      <c r="D25" s="12">
        <v>2</v>
      </c>
      <c r="E25" s="12">
        <v>4</v>
      </c>
      <c r="F25" s="12">
        <v>4</v>
      </c>
      <c r="G25" s="12">
        <v>4</v>
      </c>
      <c r="H25" s="71">
        <v>4</v>
      </c>
      <c r="I25" s="71">
        <v>3</v>
      </c>
      <c r="J25" s="12">
        <v>3</v>
      </c>
      <c r="K25" s="12">
        <v>2</v>
      </c>
      <c r="L25" s="12">
        <v>2</v>
      </c>
      <c r="M25" s="12">
        <v>2</v>
      </c>
      <c r="N25" s="12">
        <v>1</v>
      </c>
      <c r="O25" s="12">
        <v>4</v>
      </c>
      <c r="P25" s="12">
        <v>2</v>
      </c>
      <c r="Q25" s="12">
        <v>4</v>
      </c>
      <c r="R25" s="12">
        <v>4</v>
      </c>
      <c r="S25" s="12">
        <v>3</v>
      </c>
      <c r="T25" s="12">
        <v>2</v>
      </c>
      <c r="U25" s="12">
        <v>4</v>
      </c>
      <c r="V25" s="12">
        <v>2</v>
      </c>
      <c r="W25" s="12">
        <v>2</v>
      </c>
      <c r="X25" s="12" t="s">
        <v>63</v>
      </c>
      <c r="Y25" s="12">
        <f>X26</f>
        <v>2</v>
      </c>
      <c r="Z25" s="12">
        <f>X27</f>
        <v>2</v>
      </c>
      <c r="AA25" s="12">
        <f>X28</f>
        <v>4</v>
      </c>
      <c r="AB25" s="12">
        <f>X29</f>
        <v>2</v>
      </c>
      <c r="AC25" s="12">
        <f>X30</f>
        <v>4</v>
      </c>
      <c r="AD25" s="12">
        <f>X31</f>
        <v>2</v>
      </c>
      <c r="AE25" s="12">
        <f>X32</f>
        <v>2</v>
      </c>
      <c r="AF25" s="12">
        <f>X33</f>
        <v>4</v>
      </c>
      <c r="AG25" s="12">
        <f>X34</f>
        <v>3</v>
      </c>
      <c r="AH25" s="12">
        <f>X35</f>
        <v>4</v>
      </c>
      <c r="AI25" s="12">
        <f>X36</f>
        <v>3</v>
      </c>
      <c r="AJ25" s="12">
        <f>X37</f>
        <v>4</v>
      </c>
      <c r="AK25" s="12">
        <f>X38</f>
        <v>3</v>
      </c>
      <c r="AL25" s="12">
        <f>X39</f>
        <v>4</v>
      </c>
      <c r="AM25" s="12">
        <f>Y39</f>
        <v>2</v>
      </c>
      <c r="AN25" s="12">
        <f>X41</f>
        <v>2</v>
      </c>
      <c r="AO25" s="12">
        <f>X42</f>
        <v>4</v>
      </c>
      <c r="AP25" s="12">
        <f>X43</f>
        <v>1</v>
      </c>
      <c r="AQ25" s="12">
        <f>X44</f>
        <v>2</v>
      </c>
      <c r="AR25" s="12">
        <f>X45</f>
        <v>2</v>
      </c>
      <c r="AS25" s="12">
        <f>X46</f>
        <v>4</v>
      </c>
      <c r="AT25" s="12">
        <f>X47</f>
        <v>2</v>
      </c>
      <c r="AU25" s="12">
        <f>X48</f>
        <v>3</v>
      </c>
      <c r="AV25" s="12">
        <f>X49</f>
        <v>3</v>
      </c>
      <c r="AW25" s="12">
        <f>X50</f>
        <v>4</v>
      </c>
      <c r="AX25" s="12">
        <f>X51</f>
        <v>3</v>
      </c>
      <c r="AY25" s="12">
        <f>X52</f>
        <v>4</v>
      </c>
      <c r="AZ25" s="12">
        <f>X53</f>
        <v>4</v>
      </c>
      <c r="BA25" s="12">
        <f>X54</f>
        <v>3</v>
      </c>
      <c r="BB25" s="12">
        <f>X55</f>
        <v>4</v>
      </c>
      <c r="BC25" s="12">
        <f>X56</f>
        <v>4</v>
      </c>
      <c r="BD25" s="12">
        <f>X57</f>
        <v>4</v>
      </c>
      <c r="BE25" s="12">
        <f>X58</f>
        <v>2</v>
      </c>
      <c r="BF25" s="12">
        <f>Y58</f>
        <v>2</v>
      </c>
      <c r="BG25" s="12">
        <f>X60</f>
        <v>2</v>
      </c>
      <c r="BH25" s="12">
        <f>X61</f>
        <v>3</v>
      </c>
      <c r="BI25" s="12">
        <f>X62</f>
        <v>3</v>
      </c>
      <c r="BJ25" s="12">
        <f>X63</f>
        <v>2</v>
      </c>
      <c r="BK25" s="12">
        <f>X64</f>
        <v>2</v>
      </c>
      <c r="BL25" s="12">
        <f>X65</f>
        <v>4</v>
      </c>
      <c r="BM25" s="12">
        <f>X66</f>
        <v>4</v>
      </c>
      <c r="BN25" s="12">
        <f>X67</f>
        <v>4</v>
      </c>
      <c r="BO25" s="12">
        <f>X68</f>
        <v>4</v>
      </c>
      <c r="BP25" s="12">
        <f>X69</f>
        <v>4</v>
      </c>
      <c r="BQ25" s="12">
        <f>X70</f>
        <v>3</v>
      </c>
      <c r="BR25" s="12">
        <f>X71</f>
        <v>4</v>
      </c>
      <c r="BS25" s="12">
        <f>X72</f>
        <v>4</v>
      </c>
      <c r="BT25" s="12">
        <f>X73</f>
        <v>3</v>
      </c>
      <c r="BU25" s="12">
        <f>X74</f>
        <v>3</v>
      </c>
      <c r="BV25" s="12">
        <f>X75</f>
        <v>4</v>
      </c>
      <c r="BW25" s="12">
        <f>X76</f>
        <v>2</v>
      </c>
      <c r="BX25" s="12">
        <f>X77</f>
        <v>2</v>
      </c>
      <c r="BY25" s="12">
        <f>X78</f>
        <v>3</v>
      </c>
      <c r="BZ25" s="12">
        <f>X79</f>
        <v>3</v>
      </c>
      <c r="CA25" s="12">
        <f>X80</f>
        <v>3</v>
      </c>
      <c r="CB25" s="12">
        <f>X81</f>
        <v>2</v>
      </c>
      <c r="CC25" s="12">
        <f>X82</f>
        <v>4</v>
      </c>
      <c r="CD25" s="12">
        <f>X83</f>
        <v>4</v>
      </c>
      <c r="CE25" s="12">
        <f>X84</f>
        <v>4</v>
      </c>
      <c r="CF25" s="12">
        <f>X85</f>
        <v>3</v>
      </c>
      <c r="CG25" s="12">
        <f>X86</f>
        <v>4</v>
      </c>
      <c r="CH25" s="15">
        <f>X87</f>
        <v>4</v>
      </c>
    </row>
    <row r="26" spans="1:86" ht="12.75" customHeight="1" x14ac:dyDescent="0.25">
      <c r="A26" s="11" t="s">
        <v>209</v>
      </c>
      <c r="B26" s="12">
        <v>2</v>
      </c>
      <c r="C26" s="12">
        <v>2</v>
      </c>
      <c r="D26" s="12">
        <v>2</v>
      </c>
      <c r="E26" s="12">
        <v>3</v>
      </c>
      <c r="F26" s="12">
        <v>3</v>
      </c>
      <c r="G26" s="12">
        <v>3</v>
      </c>
      <c r="H26" s="71">
        <v>4</v>
      </c>
      <c r="I26" s="71">
        <v>2</v>
      </c>
      <c r="J26" s="12">
        <v>2</v>
      </c>
      <c r="K26" s="12">
        <v>2</v>
      </c>
      <c r="L26" s="12">
        <v>2</v>
      </c>
      <c r="M26" s="12">
        <v>2</v>
      </c>
      <c r="N26" s="12">
        <v>1</v>
      </c>
      <c r="O26" s="12">
        <v>4</v>
      </c>
      <c r="P26" s="12">
        <v>2</v>
      </c>
      <c r="Q26" s="12">
        <v>3</v>
      </c>
      <c r="R26" s="12">
        <v>3</v>
      </c>
      <c r="S26" s="12">
        <v>2</v>
      </c>
      <c r="T26" s="12">
        <v>2</v>
      </c>
      <c r="U26" s="12">
        <v>4</v>
      </c>
      <c r="V26" s="12">
        <v>2</v>
      </c>
      <c r="W26" s="12">
        <v>2</v>
      </c>
      <c r="X26" s="12">
        <v>2</v>
      </c>
      <c r="Y26" s="12" t="s">
        <v>63</v>
      </c>
      <c r="Z26" s="12">
        <f>Y27</f>
        <v>2</v>
      </c>
      <c r="AA26" s="12">
        <f>Y28</f>
        <v>4</v>
      </c>
      <c r="AB26" s="12">
        <f>Y29</f>
        <v>2</v>
      </c>
      <c r="AC26" s="12">
        <f>Y30</f>
        <v>4</v>
      </c>
      <c r="AD26" s="12">
        <f>Y31</f>
        <v>2</v>
      </c>
      <c r="AE26" s="12">
        <f>Y32</f>
        <v>2</v>
      </c>
      <c r="AF26" s="12">
        <f>Y33</f>
        <v>3</v>
      </c>
      <c r="AG26" s="12">
        <f>Y34</f>
        <v>4</v>
      </c>
      <c r="AH26" s="12">
        <f>Y35</f>
        <v>3</v>
      </c>
      <c r="AI26" s="12">
        <f>Y36</f>
        <v>3</v>
      </c>
      <c r="AJ26" s="12">
        <f>Y37</f>
        <v>4</v>
      </c>
      <c r="AK26" s="12">
        <f>Y38</f>
        <v>2</v>
      </c>
      <c r="AL26" s="12">
        <f>Y39</f>
        <v>2</v>
      </c>
      <c r="AM26" s="12">
        <f>Y40</f>
        <v>2</v>
      </c>
      <c r="AN26" s="12">
        <f>Z40</f>
        <v>2</v>
      </c>
      <c r="AO26" s="12">
        <f>Y42</f>
        <v>2</v>
      </c>
      <c r="AP26" s="12">
        <f>Y43</f>
        <v>2</v>
      </c>
      <c r="AQ26" s="12">
        <f>Y44</f>
        <v>2</v>
      </c>
      <c r="AR26" s="12">
        <f>Y45</f>
        <v>2</v>
      </c>
      <c r="AS26" s="12">
        <f>Y46</f>
        <v>3</v>
      </c>
      <c r="AT26" s="12">
        <f>Y47</f>
        <v>2</v>
      </c>
      <c r="AU26" s="12">
        <f>Y48</f>
        <v>2</v>
      </c>
      <c r="AV26" s="12">
        <f>Y49</f>
        <v>2</v>
      </c>
      <c r="AW26" s="12">
        <f>Y50</f>
        <v>2</v>
      </c>
      <c r="AX26" s="12">
        <f>Y51</f>
        <v>2</v>
      </c>
      <c r="AY26" s="12">
        <f>Y52</f>
        <v>4</v>
      </c>
      <c r="AZ26" s="12">
        <f>Y53</f>
        <v>3</v>
      </c>
      <c r="BA26" s="12">
        <f>Y54</f>
        <v>2</v>
      </c>
      <c r="BB26" s="12">
        <f>Y55</f>
        <v>3</v>
      </c>
      <c r="BC26" s="12">
        <f>Y56</f>
        <v>4</v>
      </c>
      <c r="BD26" s="12">
        <f>Y57</f>
        <v>4</v>
      </c>
      <c r="BE26" s="12">
        <f>Y58</f>
        <v>2</v>
      </c>
      <c r="BF26" s="12">
        <f>Z58</f>
        <v>2</v>
      </c>
      <c r="BG26" s="12">
        <f>Y60</f>
        <v>2</v>
      </c>
      <c r="BH26" s="12">
        <f>Y61</f>
        <v>2</v>
      </c>
      <c r="BI26" s="12">
        <f>Y62</f>
        <v>2</v>
      </c>
      <c r="BJ26" s="12">
        <f>Y63</f>
        <v>2</v>
      </c>
      <c r="BK26" s="12">
        <f>Y64</f>
        <v>2</v>
      </c>
      <c r="BL26" s="12">
        <f>Y65</f>
        <v>4</v>
      </c>
      <c r="BM26" s="12">
        <f>Y66</f>
        <v>3</v>
      </c>
      <c r="BN26" s="12">
        <f>Y67</f>
        <v>4</v>
      </c>
      <c r="BO26" s="12">
        <f>Y68</f>
        <v>3</v>
      </c>
      <c r="BP26" s="12">
        <f>Y69</f>
        <v>3</v>
      </c>
      <c r="BQ26" s="12">
        <f>Y70</f>
        <v>2</v>
      </c>
      <c r="BR26" s="12">
        <f>Y71</f>
        <v>3</v>
      </c>
      <c r="BS26" s="12">
        <f>Y72</f>
        <v>2</v>
      </c>
      <c r="BT26" s="12">
        <f>Y73</f>
        <v>2</v>
      </c>
      <c r="BU26" s="12">
        <f>Y74</f>
        <v>2</v>
      </c>
      <c r="BV26" s="12">
        <f>Y75</f>
        <v>3</v>
      </c>
      <c r="BW26" s="12">
        <f>Y76</f>
        <v>2</v>
      </c>
      <c r="BX26" s="12">
        <f>Y77</f>
        <v>2</v>
      </c>
      <c r="BY26" s="12">
        <f>Y78</f>
        <v>2</v>
      </c>
      <c r="BZ26" s="12">
        <f>Y79</f>
        <v>2</v>
      </c>
      <c r="CA26" s="12">
        <f>Y80</f>
        <v>2</v>
      </c>
      <c r="CB26" s="12">
        <f>Y81</f>
        <v>2</v>
      </c>
      <c r="CC26" s="12">
        <f>Y82</f>
        <v>3</v>
      </c>
      <c r="CD26" s="12">
        <f>Y83</f>
        <v>3</v>
      </c>
      <c r="CE26" s="12">
        <f>Y84</f>
        <v>4</v>
      </c>
      <c r="CF26" s="12">
        <f>Y85</f>
        <v>2</v>
      </c>
      <c r="CG26" s="12">
        <f>Y86</f>
        <v>4</v>
      </c>
      <c r="CH26" s="66">
        <f>Y87</f>
        <v>2</v>
      </c>
    </row>
    <row r="27" spans="1:86" ht="12.75" customHeight="1" x14ac:dyDescent="0.25">
      <c r="A27" s="11" t="s">
        <v>285</v>
      </c>
      <c r="B27" s="12">
        <v>2</v>
      </c>
      <c r="C27" s="12">
        <v>2</v>
      </c>
      <c r="D27" s="12">
        <v>2</v>
      </c>
      <c r="E27" s="12">
        <v>3</v>
      </c>
      <c r="F27" s="12">
        <v>3</v>
      </c>
      <c r="G27" s="12">
        <v>3</v>
      </c>
      <c r="H27" s="71">
        <v>4</v>
      </c>
      <c r="I27" s="71">
        <v>2</v>
      </c>
      <c r="J27" s="12">
        <v>2</v>
      </c>
      <c r="K27" s="12">
        <v>2</v>
      </c>
      <c r="L27" s="12">
        <v>2</v>
      </c>
      <c r="M27" s="12">
        <v>2</v>
      </c>
      <c r="N27" s="12">
        <v>1</v>
      </c>
      <c r="O27" s="12">
        <v>4</v>
      </c>
      <c r="P27" s="12">
        <v>2</v>
      </c>
      <c r="Q27" s="12">
        <v>3</v>
      </c>
      <c r="R27" s="12">
        <v>3</v>
      </c>
      <c r="S27" s="12">
        <v>2</v>
      </c>
      <c r="T27" s="12">
        <v>2</v>
      </c>
      <c r="U27" s="12">
        <v>4</v>
      </c>
      <c r="V27" s="12">
        <v>2</v>
      </c>
      <c r="W27" s="12">
        <v>2</v>
      </c>
      <c r="X27" s="12">
        <v>2</v>
      </c>
      <c r="Y27" s="12">
        <v>2</v>
      </c>
      <c r="Z27" s="12" t="s">
        <v>63</v>
      </c>
      <c r="AA27" s="12">
        <f>Z28</f>
        <v>4</v>
      </c>
      <c r="AB27" s="12">
        <f>Z29</f>
        <v>2</v>
      </c>
      <c r="AC27" s="12">
        <f>Z30</f>
        <v>4</v>
      </c>
      <c r="AD27" s="12">
        <f>Z31</f>
        <v>2</v>
      </c>
      <c r="AE27" s="12">
        <f>Z32</f>
        <v>2</v>
      </c>
      <c r="AF27" s="12">
        <f>Z33</f>
        <v>3</v>
      </c>
      <c r="AG27" s="12">
        <f>Z34</f>
        <v>4</v>
      </c>
      <c r="AH27" s="12">
        <f>Z35</f>
        <v>3</v>
      </c>
      <c r="AI27" s="12">
        <f>Z36</f>
        <v>3</v>
      </c>
      <c r="AJ27" s="12">
        <f>Z37</f>
        <v>3</v>
      </c>
      <c r="AK27" s="12">
        <f>Z38</f>
        <v>3</v>
      </c>
      <c r="AL27" s="12">
        <f>Z39</f>
        <v>2</v>
      </c>
      <c r="AM27" s="12">
        <f>Z40</f>
        <v>2</v>
      </c>
      <c r="AN27" s="12">
        <f>Z41</f>
        <v>2</v>
      </c>
      <c r="AO27" s="12">
        <f>AA41</f>
        <v>4</v>
      </c>
      <c r="AP27" s="12">
        <f>Z43</f>
        <v>2</v>
      </c>
      <c r="AQ27" s="12">
        <f>Z44</f>
        <v>2</v>
      </c>
      <c r="AR27" s="12">
        <f>Z45</f>
        <v>2</v>
      </c>
      <c r="AS27" s="12">
        <f>Z46</f>
        <v>3</v>
      </c>
      <c r="AT27" s="12">
        <f>Z47</f>
        <v>2</v>
      </c>
      <c r="AU27" s="12">
        <f>Z48</f>
        <v>2</v>
      </c>
      <c r="AV27" s="12">
        <f>Z49</f>
        <v>2</v>
      </c>
      <c r="AW27" s="12">
        <f>Z50</f>
        <v>3</v>
      </c>
      <c r="AX27" s="12">
        <f>Z51</f>
        <v>2</v>
      </c>
      <c r="AY27" s="12">
        <f>Z52</f>
        <v>4</v>
      </c>
      <c r="AZ27" s="12">
        <f>Z53</f>
        <v>3</v>
      </c>
      <c r="BA27" s="12">
        <f>Z54</f>
        <v>2</v>
      </c>
      <c r="BB27" s="12">
        <f>Z55</f>
        <v>3</v>
      </c>
      <c r="BC27" s="12">
        <f>Z56</f>
        <v>4</v>
      </c>
      <c r="BD27" s="12">
        <f>Z57</f>
        <v>4</v>
      </c>
      <c r="BE27" s="12">
        <f>Z58</f>
        <v>2</v>
      </c>
      <c r="BF27" s="12">
        <f>AA58</f>
        <v>3</v>
      </c>
      <c r="BG27" s="12">
        <f>Z60</f>
        <v>2</v>
      </c>
      <c r="BH27" s="12">
        <f>Z61</f>
        <v>2</v>
      </c>
      <c r="BI27" s="12">
        <f>Z62</f>
        <v>2</v>
      </c>
      <c r="BJ27" s="12">
        <f>Z63</f>
        <v>2</v>
      </c>
      <c r="BK27" s="12">
        <f>Z64</f>
        <v>2</v>
      </c>
      <c r="BL27" s="12">
        <f>Z65</f>
        <v>4</v>
      </c>
      <c r="BM27" s="12">
        <f>Z66</f>
        <v>3</v>
      </c>
      <c r="BN27" s="12">
        <f>Z67</f>
        <v>4</v>
      </c>
      <c r="BO27" s="12">
        <f>Z68</f>
        <v>3</v>
      </c>
      <c r="BP27" s="12">
        <f>Z69</f>
        <v>3</v>
      </c>
      <c r="BQ27" s="12">
        <f>Z70</f>
        <v>2</v>
      </c>
      <c r="BR27" s="12">
        <f>Z71</f>
        <v>3</v>
      </c>
      <c r="BS27" s="12">
        <f>Z72</f>
        <v>2</v>
      </c>
      <c r="BT27" s="12">
        <f>Z73</f>
        <v>2</v>
      </c>
      <c r="BU27" s="12">
        <f>Z74</f>
        <v>2</v>
      </c>
      <c r="BV27" s="12">
        <f>Z75</f>
        <v>3</v>
      </c>
      <c r="BW27" s="12">
        <f>Z76</f>
        <v>2</v>
      </c>
      <c r="BX27" s="12">
        <f>Z77</f>
        <v>2</v>
      </c>
      <c r="BY27" s="12">
        <f>Z78</f>
        <v>2</v>
      </c>
      <c r="BZ27" s="12">
        <f>Z79</f>
        <v>2</v>
      </c>
      <c r="CA27" s="12">
        <f>Z80</f>
        <v>2</v>
      </c>
      <c r="CB27" s="12">
        <f>Z81</f>
        <v>2</v>
      </c>
      <c r="CC27" s="12">
        <f>Z82</f>
        <v>3</v>
      </c>
      <c r="CD27" s="12">
        <f>Z83</f>
        <v>3</v>
      </c>
      <c r="CE27" s="12">
        <f>Z84</f>
        <v>4</v>
      </c>
      <c r="CF27" s="12">
        <f>Z85</f>
        <v>2</v>
      </c>
      <c r="CG27" s="12">
        <f>Z86</f>
        <v>4</v>
      </c>
      <c r="CH27" s="15">
        <f>Z87</f>
        <v>2</v>
      </c>
    </row>
    <row r="28" spans="1:86" ht="12.75" customHeight="1" x14ac:dyDescent="0.25">
      <c r="A28" s="11" t="s">
        <v>42</v>
      </c>
      <c r="B28" s="12">
        <v>4</v>
      </c>
      <c r="C28" s="12">
        <v>4</v>
      </c>
      <c r="D28" s="12">
        <v>4</v>
      </c>
      <c r="E28" s="12">
        <v>4</v>
      </c>
      <c r="F28" s="12">
        <v>4</v>
      </c>
      <c r="G28" s="12">
        <v>4</v>
      </c>
      <c r="H28" s="71">
        <v>4</v>
      </c>
      <c r="I28" s="71">
        <v>3</v>
      </c>
      <c r="J28" s="12">
        <v>3</v>
      </c>
      <c r="K28" s="12">
        <v>4</v>
      </c>
      <c r="L28" s="12">
        <v>4</v>
      </c>
      <c r="M28" s="12">
        <v>4</v>
      </c>
      <c r="N28" s="12">
        <v>3</v>
      </c>
      <c r="O28" s="12">
        <v>4</v>
      </c>
      <c r="P28" s="12">
        <v>4</v>
      </c>
      <c r="Q28" s="12">
        <v>4</v>
      </c>
      <c r="R28" s="12">
        <v>4</v>
      </c>
      <c r="S28" s="12">
        <v>3</v>
      </c>
      <c r="T28" s="12">
        <v>4</v>
      </c>
      <c r="U28" s="12">
        <v>4</v>
      </c>
      <c r="V28" s="12">
        <v>4</v>
      </c>
      <c r="W28" s="12">
        <v>4</v>
      </c>
      <c r="X28" s="12">
        <v>4</v>
      </c>
      <c r="Y28" s="12">
        <v>4</v>
      </c>
      <c r="Z28" s="12">
        <v>4</v>
      </c>
      <c r="AA28" s="12" t="s">
        <v>63</v>
      </c>
      <c r="AB28" s="12">
        <f>AA29</f>
        <v>4</v>
      </c>
      <c r="AC28" s="12">
        <f>AA30</f>
        <v>4</v>
      </c>
      <c r="AD28" s="12">
        <f>AA31</f>
        <v>4</v>
      </c>
      <c r="AE28" s="12">
        <f>AA32</f>
        <v>4</v>
      </c>
      <c r="AF28" s="12">
        <f>AA33</f>
        <v>4</v>
      </c>
      <c r="AG28" s="12">
        <f>AA34</f>
        <v>4</v>
      </c>
      <c r="AH28" s="12">
        <f>AA35</f>
        <v>4</v>
      </c>
      <c r="AI28" s="12">
        <f>AA36</f>
        <v>4</v>
      </c>
      <c r="AJ28" s="12">
        <f>AA37</f>
        <v>4</v>
      </c>
      <c r="AK28" s="12">
        <f>AA38</f>
        <v>3</v>
      </c>
      <c r="AL28" s="12">
        <f>AA39</f>
        <v>4</v>
      </c>
      <c r="AM28" s="12">
        <f>AA40</f>
        <v>4</v>
      </c>
      <c r="AN28" s="12">
        <f>AA41</f>
        <v>4</v>
      </c>
      <c r="AO28" s="12">
        <f>AA42</f>
        <v>4</v>
      </c>
      <c r="AP28" s="12">
        <f>AB42</f>
        <v>2</v>
      </c>
      <c r="AQ28" s="12">
        <f>AA44</f>
        <v>4</v>
      </c>
      <c r="AR28" s="12">
        <f>AA45</f>
        <v>4</v>
      </c>
      <c r="AS28" s="12">
        <f>AA46</f>
        <v>4</v>
      </c>
      <c r="AT28" s="12">
        <f>AA47</f>
        <v>4</v>
      </c>
      <c r="AU28" s="12">
        <f>AA48</f>
        <v>1</v>
      </c>
      <c r="AV28" s="12">
        <f>AA49</f>
        <v>1</v>
      </c>
      <c r="AW28" s="12">
        <f>AA50</f>
        <v>4</v>
      </c>
      <c r="AX28" s="12">
        <f>AA51</f>
        <v>3</v>
      </c>
      <c r="AY28" s="12">
        <f>AA52</f>
        <v>4</v>
      </c>
      <c r="AZ28" s="12">
        <f>AA53</f>
        <v>4</v>
      </c>
      <c r="BA28" s="12">
        <f>AA54</f>
        <v>3</v>
      </c>
      <c r="BB28" s="12">
        <f>AA55</f>
        <v>4</v>
      </c>
      <c r="BC28" s="12">
        <f>AA56</f>
        <v>4</v>
      </c>
      <c r="BD28" s="12">
        <f>AA57</f>
        <v>4</v>
      </c>
      <c r="BE28" s="12">
        <f>AA58</f>
        <v>3</v>
      </c>
      <c r="BF28" s="12">
        <f>AB58</f>
        <v>2</v>
      </c>
      <c r="BG28" s="12">
        <f>AA60</f>
        <v>4</v>
      </c>
      <c r="BH28" s="12">
        <f>AA61</f>
        <v>3</v>
      </c>
      <c r="BI28" s="12">
        <f>AA62</f>
        <v>3</v>
      </c>
      <c r="BJ28" s="12">
        <f>AA63</f>
        <v>4</v>
      </c>
      <c r="BK28" s="12">
        <f>AA64</f>
        <v>4</v>
      </c>
      <c r="BL28" s="12">
        <f>AA65</f>
        <v>4</v>
      </c>
      <c r="BM28" s="12">
        <f>AA66</f>
        <v>4</v>
      </c>
      <c r="BN28" s="12">
        <f>AA67</f>
        <v>4</v>
      </c>
      <c r="BO28" s="12">
        <f>AA68</f>
        <v>4</v>
      </c>
      <c r="BP28" s="12">
        <f>AA69</f>
        <v>4</v>
      </c>
      <c r="BQ28" s="12">
        <f>AA70</f>
        <v>3</v>
      </c>
      <c r="BR28" s="12">
        <f>AA71</f>
        <v>4</v>
      </c>
      <c r="BS28" s="12">
        <f>AA72</f>
        <v>4</v>
      </c>
      <c r="BT28" s="12">
        <f>AA73</f>
        <v>3</v>
      </c>
      <c r="BU28" s="12">
        <f>AA74</f>
        <v>3</v>
      </c>
      <c r="BV28" s="12">
        <f>AA75</f>
        <v>4</v>
      </c>
      <c r="BW28" s="12">
        <f>AA76</f>
        <v>4</v>
      </c>
      <c r="BX28" s="12">
        <f>AA77</f>
        <v>4</v>
      </c>
      <c r="BY28" s="12">
        <f>AA78</f>
        <v>3</v>
      </c>
      <c r="BZ28" s="12">
        <f>AA79</f>
        <v>3</v>
      </c>
      <c r="CA28" s="12">
        <f>AA80</f>
        <v>3</v>
      </c>
      <c r="CB28" s="12">
        <f>AA81</f>
        <v>4</v>
      </c>
      <c r="CC28" s="12">
        <f>AA82</f>
        <v>4</v>
      </c>
      <c r="CD28" s="12">
        <f>AA83</f>
        <v>4</v>
      </c>
      <c r="CE28" s="12">
        <f>AA84</f>
        <v>4</v>
      </c>
      <c r="CF28" s="12">
        <f>AA85</f>
        <v>3</v>
      </c>
      <c r="CG28" s="12">
        <f>AA86</f>
        <v>4</v>
      </c>
      <c r="CH28" s="66">
        <f>AA87</f>
        <v>4</v>
      </c>
    </row>
    <row r="29" spans="1:86" ht="12.75" customHeight="1" x14ac:dyDescent="0.25">
      <c r="A29" s="11" t="s">
        <v>286</v>
      </c>
      <c r="B29" s="12">
        <v>2</v>
      </c>
      <c r="C29" s="12">
        <v>2</v>
      </c>
      <c r="D29" s="12">
        <v>2</v>
      </c>
      <c r="E29" s="12">
        <v>3</v>
      </c>
      <c r="F29" s="12">
        <v>3</v>
      </c>
      <c r="G29" s="12">
        <v>3</v>
      </c>
      <c r="H29" s="71">
        <v>4</v>
      </c>
      <c r="I29" s="71">
        <v>2</v>
      </c>
      <c r="J29" s="12">
        <v>2</v>
      </c>
      <c r="K29" s="12">
        <v>2</v>
      </c>
      <c r="L29" s="12">
        <v>2</v>
      </c>
      <c r="M29" s="12">
        <v>2</v>
      </c>
      <c r="N29" s="12">
        <v>1</v>
      </c>
      <c r="O29" s="12">
        <v>4</v>
      </c>
      <c r="P29" s="12">
        <v>2</v>
      </c>
      <c r="Q29" s="12">
        <v>3</v>
      </c>
      <c r="R29" s="12">
        <v>3</v>
      </c>
      <c r="S29" s="12">
        <v>2</v>
      </c>
      <c r="T29" s="12">
        <v>2</v>
      </c>
      <c r="U29" s="12">
        <v>4</v>
      </c>
      <c r="V29" s="12">
        <v>2</v>
      </c>
      <c r="W29" s="12">
        <v>2</v>
      </c>
      <c r="X29" s="12">
        <v>2</v>
      </c>
      <c r="Y29" s="12">
        <v>2</v>
      </c>
      <c r="Z29" s="12">
        <v>2</v>
      </c>
      <c r="AA29" s="12">
        <v>4</v>
      </c>
      <c r="AB29" s="12" t="s">
        <v>63</v>
      </c>
      <c r="AC29" s="12">
        <f>AB30</f>
        <v>4</v>
      </c>
      <c r="AD29" s="12">
        <f>AB31</f>
        <v>2</v>
      </c>
      <c r="AE29" s="12">
        <f>AB32</f>
        <v>2</v>
      </c>
      <c r="AF29" s="12">
        <f>AB33</f>
        <v>3</v>
      </c>
      <c r="AG29" s="12">
        <f>AB34</f>
        <v>4</v>
      </c>
      <c r="AH29" s="12">
        <f>AB35</f>
        <v>3</v>
      </c>
      <c r="AI29" s="12">
        <f>AB36</f>
        <v>3</v>
      </c>
      <c r="AJ29" s="12">
        <f>AB37</f>
        <v>3</v>
      </c>
      <c r="AK29" s="12">
        <f>AB38</f>
        <v>3</v>
      </c>
      <c r="AL29" s="12">
        <f>AB39</f>
        <v>2</v>
      </c>
      <c r="AM29" s="12">
        <f>AB40</f>
        <v>2</v>
      </c>
      <c r="AN29" s="12">
        <f>AB41</f>
        <v>2</v>
      </c>
      <c r="AO29" s="12">
        <f>AB42</f>
        <v>2</v>
      </c>
      <c r="AP29" s="12">
        <f>AB43</f>
        <v>2</v>
      </c>
      <c r="AQ29" s="12">
        <f>AC43</f>
        <v>3</v>
      </c>
      <c r="AR29" s="12">
        <f>AB45</f>
        <v>2</v>
      </c>
      <c r="AS29" s="12">
        <f>AB46</f>
        <v>3</v>
      </c>
      <c r="AT29" s="12">
        <f>AB47</f>
        <v>2</v>
      </c>
      <c r="AU29" s="12">
        <f>AB48</f>
        <v>2</v>
      </c>
      <c r="AV29" s="12">
        <f>AB49</f>
        <v>2</v>
      </c>
      <c r="AW29" s="12">
        <f>AB50</f>
        <v>3</v>
      </c>
      <c r="AX29" s="12">
        <f>AB51</f>
        <v>2</v>
      </c>
      <c r="AY29" s="12">
        <f>AB52</f>
        <v>4</v>
      </c>
      <c r="AZ29" s="12">
        <f>AB53</f>
        <v>3</v>
      </c>
      <c r="BA29" s="12">
        <f>AB54</f>
        <v>2</v>
      </c>
      <c r="BB29" s="12">
        <f>AB55</f>
        <v>3</v>
      </c>
      <c r="BC29" s="12">
        <f>AB56</f>
        <v>4</v>
      </c>
      <c r="BD29" s="12">
        <f>AB57</f>
        <v>4</v>
      </c>
      <c r="BE29" s="12">
        <f>AB58</f>
        <v>2</v>
      </c>
      <c r="BF29" s="12">
        <f>AC58</f>
        <v>3</v>
      </c>
      <c r="BG29" s="12">
        <f>AB60</f>
        <v>2</v>
      </c>
      <c r="BH29" s="12">
        <f>AB61</f>
        <v>2</v>
      </c>
      <c r="BI29" s="12">
        <f>AB62</f>
        <v>2</v>
      </c>
      <c r="BJ29" s="12">
        <f>AB63</f>
        <v>2</v>
      </c>
      <c r="BK29" s="12">
        <f>AB64</f>
        <v>2</v>
      </c>
      <c r="BL29" s="12">
        <f>AB65</f>
        <v>4</v>
      </c>
      <c r="BM29" s="12">
        <f>AB66</f>
        <v>3</v>
      </c>
      <c r="BN29" s="12">
        <f>AB67</f>
        <v>4</v>
      </c>
      <c r="BO29" s="12">
        <f>AB68</f>
        <v>3</v>
      </c>
      <c r="BP29" s="12">
        <f>AB69</f>
        <v>3</v>
      </c>
      <c r="BQ29" s="12">
        <f>AB70</f>
        <v>2</v>
      </c>
      <c r="BR29" s="12">
        <f>AB71</f>
        <v>3</v>
      </c>
      <c r="BS29" s="12">
        <f>AB72</f>
        <v>2</v>
      </c>
      <c r="BT29" s="12">
        <f>AB73</f>
        <v>2</v>
      </c>
      <c r="BU29" s="12">
        <f>AB74</f>
        <v>2</v>
      </c>
      <c r="BV29" s="12">
        <f>AB75</f>
        <v>3</v>
      </c>
      <c r="BW29" s="12">
        <f>AB76</f>
        <v>2</v>
      </c>
      <c r="BX29" s="12">
        <f>AB77</f>
        <v>2</v>
      </c>
      <c r="BY29" s="12">
        <f>AB78</f>
        <v>2</v>
      </c>
      <c r="BZ29" s="12">
        <f>AB79</f>
        <v>2</v>
      </c>
      <c r="CA29" s="12">
        <f>AB80</f>
        <v>2</v>
      </c>
      <c r="CB29" s="12">
        <f>AB81</f>
        <v>2</v>
      </c>
      <c r="CC29" s="12">
        <f>AB82</f>
        <v>3</v>
      </c>
      <c r="CD29" s="12">
        <f>AB83</f>
        <v>3</v>
      </c>
      <c r="CE29" s="12">
        <f>AB84</f>
        <v>4</v>
      </c>
      <c r="CF29" s="12">
        <f>AB85</f>
        <v>2</v>
      </c>
      <c r="CG29" s="12">
        <f>AB86</f>
        <v>4</v>
      </c>
      <c r="CH29" s="66">
        <f>AB87</f>
        <v>2</v>
      </c>
    </row>
    <row r="30" spans="1:86" ht="12.75" customHeight="1" x14ac:dyDescent="0.25">
      <c r="A30" s="70" t="s">
        <v>144</v>
      </c>
      <c r="B30" s="12">
        <v>4</v>
      </c>
      <c r="C30" s="12">
        <v>4</v>
      </c>
      <c r="D30" s="12">
        <v>4</v>
      </c>
      <c r="E30" s="12">
        <v>4</v>
      </c>
      <c r="F30" s="12">
        <v>4</v>
      </c>
      <c r="G30" s="12">
        <v>4</v>
      </c>
      <c r="H30" s="71">
        <v>4</v>
      </c>
      <c r="I30" s="71">
        <v>3</v>
      </c>
      <c r="J30" s="12">
        <v>3</v>
      </c>
      <c r="K30" s="12">
        <v>4</v>
      </c>
      <c r="L30" s="12">
        <v>4</v>
      </c>
      <c r="M30" s="12">
        <v>4</v>
      </c>
      <c r="N30" s="12">
        <v>3</v>
      </c>
      <c r="O30" s="12">
        <v>4</v>
      </c>
      <c r="P30" s="12">
        <v>4</v>
      </c>
      <c r="Q30" s="12">
        <v>4</v>
      </c>
      <c r="R30" s="12">
        <v>4</v>
      </c>
      <c r="S30" s="12">
        <v>3</v>
      </c>
      <c r="T30" s="12">
        <v>4</v>
      </c>
      <c r="U30" s="12">
        <v>4</v>
      </c>
      <c r="V30" s="12">
        <v>4</v>
      </c>
      <c r="W30" s="12">
        <v>4</v>
      </c>
      <c r="X30" s="12">
        <v>4</v>
      </c>
      <c r="Y30" s="12">
        <v>4</v>
      </c>
      <c r="Z30" s="12">
        <v>4</v>
      </c>
      <c r="AA30" s="12">
        <v>4</v>
      </c>
      <c r="AB30" s="12">
        <v>4</v>
      </c>
      <c r="AC30" s="12" t="s">
        <v>63</v>
      </c>
      <c r="AD30" s="12">
        <f>AC31</f>
        <v>4</v>
      </c>
      <c r="AE30" s="12">
        <f>AC32</f>
        <v>4</v>
      </c>
      <c r="AF30" s="12">
        <f>AC33</f>
        <v>4</v>
      </c>
      <c r="AG30" s="12">
        <f>AC34</f>
        <v>4</v>
      </c>
      <c r="AH30" s="12">
        <f>AC35</f>
        <v>4</v>
      </c>
      <c r="AI30" s="12">
        <f>AC36</f>
        <v>4</v>
      </c>
      <c r="AJ30" s="12">
        <f>AC37</f>
        <v>4</v>
      </c>
      <c r="AK30" s="12">
        <f>AC38</f>
        <v>3</v>
      </c>
      <c r="AL30" s="12">
        <f>AC39</f>
        <v>4</v>
      </c>
      <c r="AM30" s="12">
        <f>AC40</f>
        <v>4</v>
      </c>
      <c r="AN30" s="12">
        <f>AC41</f>
        <v>4</v>
      </c>
      <c r="AO30" s="12">
        <f>AC42</f>
        <v>4</v>
      </c>
      <c r="AP30" s="12">
        <f>AC43</f>
        <v>3</v>
      </c>
      <c r="AQ30" s="12">
        <f>AC44</f>
        <v>4</v>
      </c>
      <c r="AR30" s="12">
        <f>AF44</f>
        <v>3</v>
      </c>
      <c r="AS30" s="12">
        <f>AC46</f>
        <v>4</v>
      </c>
      <c r="AT30" s="12">
        <f>AC47</f>
        <v>4</v>
      </c>
      <c r="AU30" s="12">
        <f>AC48</f>
        <v>3</v>
      </c>
      <c r="AV30" s="12">
        <f>AC49</f>
        <v>3</v>
      </c>
      <c r="AW30" s="12">
        <f>AC50</f>
        <v>4</v>
      </c>
      <c r="AX30" s="12">
        <f>AC51</f>
        <v>3</v>
      </c>
      <c r="AY30" s="12">
        <f>AC52</f>
        <v>4</v>
      </c>
      <c r="AZ30" s="12">
        <f>AC53</f>
        <v>4</v>
      </c>
      <c r="BA30" s="12">
        <f>AC54</f>
        <v>3</v>
      </c>
      <c r="BB30" s="12">
        <f>AC55</f>
        <v>4</v>
      </c>
      <c r="BC30" s="12">
        <f>AC56</f>
        <v>4</v>
      </c>
      <c r="BD30" s="12">
        <f>AC57</f>
        <v>4</v>
      </c>
      <c r="BE30" s="12">
        <f>AC58</f>
        <v>3</v>
      </c>
      <c r="BF30" s="12">
        <f>AD58</f>
        <v>2</v>
      </c>
      <c r="BG30" s="12">
        <f>AC60</f>
        <v>4</v>
      </c>
      <c r="BH30" s="12">
        <f>AC61</f>
        <v>3</v>
      </c>
      <c r="BI30" s="12">
        <f>AC62</f>
        <v>3</v>
      </c>
      <c r="BJ30" s="12">
        <f>AC63</f>
        <v>4</v>
      </c>
      <c r="BK30" s="12">
        <f>AC64</f>
        <v>4</v>
      </c>
      <c r="BL30" s="12">
        <f>AC65</f>
        <v>4</v>
      </c>
      <c r="BM30" s="12">
        <f>AC66</f>
        <v>4</v>
      </c>
      <c r="BN30" s="12">
        <f>AC67</f>
        <v>4</v>
      </c>
      <c r="BO30" s="12">
        <f>AC68</f>
        <v>4</v>
      </c>
      <c r="BP30" s="12">
        <f>AC69</f>
        <v>4</v>
      </c>
      <c r="BQ30" s="12">
        <f>AC70</f>
        <v>3</v>
      </c>
      <c r="BR30" s="12">
        <f>AC71</f>
        <v>4</v>
      </c>
      <c r="BS30" s="12">
        <f>AC72</f>
        <v>4</v>
      </c>
      <c r="BT30" s="12">
        <f>AC73</f>
        <v>3</v>
      </c>
      <c r="BU30" s="12">
        <f>AC74</f>
        <v>3</v>
      </c>
      <c r="BV30" s="12">
        <f>AC75</f>
        <v>4</v>
      </c>
      <c r="BW30" s="12">
        <f>AC76</f>
        <v>4</v>
      </c>
      <c r="BX30" s="12">
        <f>AC77</f>
        <v>4</v>
      </c>
      <c r="BY30" s="12">
        <f>AC78</f>
        <v>3</v>
      </c>
      <c r="BZ30" s="12">
        <f>AC79</f>
        <v>3</v>
      </c>
      <c r="CA30" s="12">
        <f>AC80</f>
        <v>3</v>
      </c>
      <c r="CB30" s="12">
        <f>AC81</f>
        <v>4</v>
      </c>
      <c r="CC30" s="12">
        <f>AC82</f>
        <v>4</v>
      </c>
      <c r="CD30" s="12">
        <f>AC83</f>
        <v>4</v>
      </c>
      <c r="CE30" s="12">
        <f>AC84</f>
        <v>4</v>
      </c>
      <c r="CF30" s="12">
        <f>AC85</f>
        <v>3</v>
      </c>
      <c r="CG30" s="12">
        <f>AC86</f>
        <v>4</v>
      </c>
      <c r="CH30" s="66">
        <f>AC87</f>
        <v>4</v>
      </c>
    </row>
    <row r="31" spans="1:86" ht="12.75" customHeight="1" x14ac:dyDescent="0.25">
      <c r="A31" s="11" t="s">
        <v>208</v>
      </c>
      <c r="B31" s="12">
        <v>2</v>
      </c>
      <c r="C31" s="12">
        <v>2</v>
      </c>
      <c r="D31" s="12">
        <v>2</v>
      </c>
      <c r="E31" s="12">
        <v>3</v>
      </c>
      <c r="F31" s="12">
        <v>3</v>
      </c>
      <c r="G31" s="12">
        <v>3</v>
      </c>
      <c r="H31" s="71">
        <v>4</v>
      </c>
      <c r="I31" s="71">
        <v>2</v>
      </c>
      <c r="J31" s="12">
        <v>2</v>
      </c>
      <c r="K31" s="12">
        <v>2</v>
      </c>
      <c r="L31" s="12">
        <v>2</v>
      </c>
      <c r="M31" s="12">
        <v>2</v>
      </c>
      <c r="N31" s="12">
        <v>1</v>
      </c>
      <c r="O31" s="12">
        <v>4</v>
      </c>
      <c r="P31" s="12">
        <v>2</v>
      </c>
      <c r="Q31" s="12">
        <v>3</v>
      </c>
      <c r="R31" s="12">
        <v>3</v>
      </c>
      <c r="S31" s="12">
        <v>2</v>
      </c>
      <c r="T31" s="12">
        <v>2</v>
      </c>
      <c r="U31" s="12">
        <v>4</v>
      </c>
      <c r="V31" s="12">
        <v>2</v>
      </c>
      <c r="W31" s="12">
        <v>2</v>
      </c>
      <c r="X31" s="12">
        <v>2</v>
      </c>
      <c r="Y31" s="12">
        <v>2</v>
      </c>
      <c r="Z31" s="12">
        <v>2</v>
      </c>
      <c r="AA31" s="12">
        <v>4</v>
      </c>
      <c r="AB31" s="12">
        <v>2</v>
      </c>
      <c r="AC31" s="12">
        <v>4</v>
      </c>
      <c r="AD31" s="12" t="s">
        <v>63</v>
      </c>
      <c r="AE31" s="12">
        <f>AD32</f>
        <v>2</v>
      </c>
      <c r="AF31" s="12">
        <f>AD33</f>
        <v>3</v>
      </c>
      <c r="AG31" s="12">
        <f>AD34</f>
        <v>4</v>
      </c>
      <c r="AH31" s="12">
        <f>AD35</f>
        <v>3</v>
      </c>
      <c r="AI31" s="12">
        <f>AD36</f>
        <v>3</v>
      </c>
      <c r="AJ31" s="12">
        <f>AD37</f>
        <v>3</v>
      </c>
      <c r="AK31" s="12">
        <f>AD38</f>
        <v>3</v>
      </c>
      <c r="AL31" s="12">
        <f>AD39</f>
        <v>2</v>
      </c>
      <c r="AM31" s="12">
        <f>AD40</f>
        <v>2</v>
      </c>
      <c r="AN31" s="12">
        <f>AD41</f>
        <v>2</v>
      </c>
      <c r="AO31" s="12">
        <f>AD42</f>
        <v>2</v>
      </c>
      <c r="AP31" s="12">
        <f>AD43</f>
        <v>2</v>
      </c>
      <c r="AQ31" s="12">
        <f>AD44</f>
        <v>2</v>
      </c>
      <c r="AR31" s="12">
        <f>AD45</f>
        <v>2</v>
      </c>
      <c r="AS31" s="12">
        <f>AD46</f>
        <v>3</v>
      </c>
      <c r="AT31" s="12">
        <f>AD47</f>
        <v>2</v>
      </c>
      <c r="AU31" s="12">
        <f>AD48</f>
        <v>2</v>
      </c>
      <c r="AV31" s="12">
        <f>AD49</f>
        <v>2</v>
      </c>
      <c r="AW31" s="12">
        <f>AD50</f>
        <v>3</v>
      </c>
      <c r="AX31" s="12">
        <f>AD51</f>
        <v>2</v>
      </c>
      <c r="AY31" s="12">
        <f>AD52</f>
        <v>4</v>
      </c>
      <c r="AZ31" s="12">
        <f>AD53</f>
        <v>3</v>
      </c>
      <c r="BA31" s="12">
        <f>AD54</f>
        <v>2</v>
      </c>
      <c r="BB31" s="12">
        <f>AD55</f>
        <v>3</v>
      </c>
      <c r="BC31" s="12">
        <f>AD56</f>
        <v>4</v>
      </c>
      <c r="BD31" s="12">
        <f>AD57</f>
        <v>4</v>
      </c>
      <c r="BE31" s="12">
        <f>AD58</f>
        <v>2</v>
      </c>
      <c r="BF31" s="12">
        <f>AE58</f>
        <v>2</v>
      </c>
      <c r="BG31" s="12">
        <f>AD60</f>
        <v>2</v>
      </c>
      <c r="BH31" s="12">
        <f>AD61</f>
        <v>2</v>
      </c>
      <c r="BI31" s="12">
        <f>AD62</f>
        <v>2</v>
      </c>
      <c r="BJ31" s="12">
        <f>AD63</f>
        <v>2</v>
      </c>
      <c r="BK31" s="12">
        <f>AD64</f>
        <v>2</v>
      </c>
      <c r="BL31" s="12">
        <f>AD65</f>
        <v>4</v>
      </c>
      <c r="BM31" s="12">
        <f>AD66</f>
        <v>3</v>
      </c>
      <c r="BN31" s="12">
        <f>AD67</f>
        <v>4</v>
      </c>
      <c r="BO31" s="12">
        <f>AD68</f>
        <v>3</v>
      </c>
      <c r="BP31" s="12">
        <f>AD69</f>
        <v>3</v>
      </c>
      <c r="BQ31" s="12">
        <f>AD70</f>
        <v>2</v>
      </c>
      <c r="BR31" s="12">
        <f>AD71</f>
        <v>3</v>
      </c>
      <c r="BS31" s="12">
        <f>AD72</f>
        <v>2</v>
      </c>
      <c r="BT31" s="12">
        <f>AD73</f>
        <v>2</v>
      </c>
      <c r="BU31" s="12">
        <f>AD74</f>
        <v>2</v>
      </c>
      <c r="BV31" s="12">
        <f>AD75</f>
        <v>3</v>
      </c>
      <c r="BW31" s="12">
        <f>AD76</f>
        <v>2</v>
      </c>
      <c r="BX31" s="12">
        <f>AD77</f>
        <v>2</v>
      </c>
      <c r="BY31" s="12">
        <f>AD78</f>
        <v>2</v>
      </c>
      <c r="BZ31" s="12">
        <f>AD79</f>
        <v>2</v>
      </c>
      <c r="CA31" s="12">
        <f>AD80</f>
        <v>2</v>
      </c>
      <c r="CB31" s="12">
        <f>AD81</f>
        <v>2</v>
      </c>
      <c r="CC31" s="12">
        <f>AD82</f>
        <v>3</v>
      </c>
      <c r="CD31" s="12">
        <f>AD83</f>
        <v>3</v>
      </c>
      <c r="CE31" s="12">
        <f>AD84</f>
        <v>4</v>
      </c>
      <c r="CF31" s="12">
        <f>AD85</f>
        <v>2</v>
      </c>
      <c r="CG31" s="12">
        <f>AD86</f>
        <v>4</v>
      </c>
      <c r="CH31" s="66">
        <f>AD87</f>
        <v>2</v>
      </c>
    </row>
    <row r="32" spans="1:86" ht="12.75" customHeight="1" x14ac:dyDescent="0.25">
      <c r="A32" s="11" t="s">
        <v>294</v>
      </c>
      <c r="B32" s="12">
        <v>2</v>
      </c>
      <c r="C32" s="12">
        <v>2</v>
      </c>
      <c r="D32" s="12">
        <v>2</v>
      </c>
      <c r="E32" s="12">
        <v>3</v>
      </c>
      <c r="F32" s="12">
        <v>3</v>
      </c>
      <c r="G32" s="12">
        <v>3</v>
      </c>
      <c r="H32" s="71">
        <v>4</v>
      </c>
      <c r="I32" s="71">
        <v>2</v>
      </c>
      <c r="J32" s="12">
        <v>2</v>
      </c>
      <c r="K32" s="12">
        <v>2</v>
      </c>
      <c r="L32" s="12">
        <v>2</v>
      </c>
      <c r="M32" s="12">
        <v>2</v>
      </c>
      <c r="N32" s="12">
        <v>1</v>
      </c>
      <c r="O32" s="12">
        <v>4</v>
      </c>
      <c r="P32" s="12">
        <v>2</v>
      </c>
      <c r="Q32" s="12">
        <v>3</v>
      </c>
      <c r="R32" s="12">
        <v>3</v>
      </c>
      <c r="S32" s="12">
        <v>2</v>
      </c>
      <c r="T32" s="12">
        <v>2</v>
      </c>
      <c r="U32" s="12">
        <v>4</v>
      </c>
      <c r="V32" s="12">
        <v>2</v>
      </c>
      <c r="W32" s="12">
        <v>2</v>
      </c>
      <c r="X32" s="12">
        <v>2</v>
      </c>
      <c r="Y32" s="12">
        <v>2</v>
      </c>
      <c r="Z32" s="12">
        <v>2</v>
      </c>
      <c r="AA32" s="12">
        <v>4</v>
      </c>
      <c r="AB32" s="12">
        <v>2</v>
      </c>
      <c r="AC32" s="12">
        <v>4</v>
      </c>
      <c r="AD32" s="12">
        <v>2</v>
      </c>
      <c r="AE32" s="12" t="s">
        <v>63</v>
      </c>
      <c r="AF32" s="12">
        <f>AE33</f>
        <v>3</v>
      </c>
      <c r="AG32" s="12">
        <f>AE34</f>
        <v>4</v>
      </c>
      <c r="AH32" s="12">
        <f>AE35</f>
        <v>3</v>
      </c>
      <c r="AI32" s="12">
        <f>AE36</f>
        <v>3</v>
      </c>
      <c r="AJ32" s="12">
        <f>AE37</f>
        <v>3</v>
      </c>
      <c r="AK32" s="12">
        <f>AE38</f>
        <v>3</v>
      </c>
      <c r="AL32" s="12">
        <f>AE39</f>
        <v>2</v>
      </c>
      <c r="AM32" s="12">
        <f>AE40</f>
        <v>2</v>
      </c>
      <c r="AN32" s="12">
        <f>AE41</f>
        <v>2</v>
      </c>
      <c r="AO32" s="12">
        <f>AE42</f>
        <v>2</v>
      </c>
      <c r="AP32" s="12">
        <f>AE43</f>
        <v>2</v>
      </c>
      <c r="AQ32" s="12">
        <f>AE44</f>
        <v>2</v>
      </c>
      <c r="AR32" s="12">
        <f>AE45</f>
        <v>2</v>
      </c>
      <c r="AS32" s="12">
        <f>AE46</f>
        <v>3</v>
      </c>
      <c r="AT32" s="12">
        <f>AE47</f>
        <v>2</v>
      </c>
      <c r="AU32" s="12">
        <f>AE48</f>
        <v>2</v>
      </c>
      <c r="AV32" s="12">
        <f>AE49</f>
        <v>2</v>
      </c>
      <c r="AW32" s="12">
        <f>AE50</f>
        <v>3</v>
      </c>
      <c r="AX32" s="12">
        <f>AE51</f>
        <v>2</v>
      </c>
      <c r="AY32" s="12">
        <f>AE52</f>
        <v>4</v>
      </c>
      <c r="AZ32" s="12">
        <f>AE53</f>
        <v>3</v>
      </c>
      <c r="BA32" s="12">
        <f>AE54</f>
        <v>2</v>
      </c>
      <c r="BB32" s="12">
        <f>AE55</f>
        <v>3</v>
      </c>
      <c r="BC32" s="12">
        <f>AE56</f>
        <v>4</v>
      </c>
      <c r="BD32" s="12">
        <f>AE57</f>
        <v>4</v>
      </c>
      <c r="BE32" s="12">
        <f>AE58</f>
        <v>2</v>
      </c>
      <c r="BF32" s="12">
        <f>AF58</f>
        <v>1</v>
      </c>
      <c r="BG32" s="12">
        <f>AE60</f>
        <v>2</v>
      </c>
      <c r="BH32" s="12">
        <f>AE61</f>
        <v>2</v>
      </c>
      <c r="BI32" s="12">
        <f>AE62</f>
        <v>2</v>
      </c>
      <c r="BJ32" s="12">
        <f>AE63</f>
        <v>2</v>
      </c>
      <c r="BK32" s="12">
        <f>AE64</f>
        <v>2</v>
      </c>
      <c r="BL32" s="12">
        <f>AE65</f>
        <v>4</v>
      </c>
      <c r="BM32" s="12">
        <f>AE66</f>
        <v>3</v>
      </c>
      <c r="BN32" s="12">
        <f>AE67</f>
        <v>4</v>
      </c>
      <c r="BO32" s="12">
        <f>AE68</f>
        <v>3</v>
      </c>
      <c r="BP32" s="12">
        <f>AE69</f>
        <v>3</v>
      </c>
      <c r="BQ32" s="12">
        <f>AE70</f>
        <v>2</v>
      </c>
      <c r="BR32" s="12">
        <f>AE71</f>
        <v>3</v>
      </c>
      <c r="BS32" s="12">
        <f>AE72</f>
        <v>2</v>
      </c>
      <c r="BT32" s="12">
        <f>AE73</f>
        <v>2</v>
      </c>
      <c r="BU32" s="12">
        <f>AE74</f>
        <v>2</v>
      </c>
      <c r="BV32" s="12">
        <f>AE75</f>
        <v>3</v>
      </c>
      <c r="BW32" s="12">
        <f>AE76</f>
        <v>2</v>
      </c>
      <c r="BX32" s="12">
        <f>AE77</f>
        <v>2</v>
      </c>
      <c r="BY32" s="12">
        <f>AE78</f>
        <v>2</v>
      </c>
      <c r="BZ32" s="12">
        <f>AE79</f>
        <v>2</v>
      </c>
      <c r="CA32" s="12">
        <f>AE80</f>
        <v>2</v>
      </c>
      <c r="CB32" s="12">
        <f>AE81</f>
        <v>2</v>
      </c>
      <c r="CC32" s="12">
        <f>AE82</f>
        <v>3</v>
      </c>
      <c r="CD32" s="12">
        <f>AE83</f>
        <v>3</v>
      </c>
      <c r="CE32" s="12">
        <f>AE84</f>
        <v>4</v>
      </c>
      <c r="CF32" s="12">
        <f>AE85</f>
        <v>2</v>
      </c>
      <c r="CG32" s="12">
        <f>AE86</f>
        <v>4</v>
      </c>
      <c r="CH32" s="66">
        <f>AE87</f>
        <v>2</v>
      </c>
    </row>
    <row r="33" spans="1:86" ht="12.75" customHeight="1" x14ac:dyDescent="0.25">
      <c r="A33" s="11" t="s">
        <v>60</v>
      </c>
      <c r="B33" s="12">
        <v>3</v>
      </c>
      <c r="C33" s="12">
        <v>3</v>
      </c>
      <c r="D33" s="12">
        <v>3</v>
      </c>
      <c r="E33" s="12">
        <v>3</v>
      </c>
      <c r="F33" s="12">
        <v>4</v>
      </c>
      <c r="G33" s="12">
        <v>4</v>
      </c>
      <c r="H33" s="71">
        <v>4</v>
      </c>
      <c r="I33" s="71">
        <v>3</v>
      </c>
      <c r="J33" s="12">
        <v>3</v>
      </c>
      <c r="K33" s="12">
        <v>3</v>
      </c>
      <c r="L33" s="12">
        <v>3</v>
      </c>
      <c r="M33" s="12">
        <v>3</v>
      </c>
      <c r="N33" s="12">
        <v>2</v>
      </c>
      <c r="O33" s="12">
        <v>4</v>
      </c>
      <c r="P33" s="12">
        <v>3</v>
      </c>
      <c r="Q33" s="12">
        <v>4</v>
      </c>
      <c r="R33" s="12">
        <v>3</v>
      </c>
      <c r="S33" s="12">
        <v>3</v>
      </c>
      <c r="T33" s="12">
        <v>3</v>
      </c>
      <c r="U33" s="12">
        <v>4</v>
      </c>
      <c r="V33" s="12">
        <v>3</v>
      </c>
      <c r="W33" s="12">
        <v>3</v>
      </c>
      <c r="X33" s="12">
        <v>4</v>
      </c>
      <c r="Y33" s="12">
        <v>3</v>
      </c>
      <c r="Z33" s="12">
        <v>3</v>
      </c>
      <c r="AA33" s="12">
        <v>4</v>
      </c>
      <c r="AB33" s="12">
        <v>3</v>
      </c>
      <c r="AC33" s="12">
        <v>4</v>
      </c>
      <c r="AD33" s="12">
        <v>3</v>
      </c>
      <c r="AE33" s="12">
        <v>3</v>
      </c>
      <c r="AF33" s="12" t="s">
        <v>63</v>
      </c>
      <c r="AG33" s="12">
        <f>AF34</f>
        <v>4</v>
      </c>
      <c r="AH33" s="12">
        <f>AF35</f>
        <v>4</v>
      </c>
      <c r="AI33" s="12">
        <f>AF36</f>
        <v>4</v>
      </c>
      <c r="AJ33" s="12">
        <f>AF37</f>
        <v>4</v>
      </c>
      <c r="AK33" s="12">
        <f>AF38</f>
        <v>2</v>
      </c>
      <c r="AL33" s="12">
        <f>AF39</f>
        <v>4</v>
      </c>
      <c r="AM33" s="12">
        <f>AF40</f>
        <v>3</v>
      </c>
      <c r="AN33" s="12">
        <f>AF41</f>
        <v>3</v>
      </c>
      <c r="AO33" s="12">
        <f>AF42</f>
        <v>4</v>
      </c>
      <c r="AP33" s="12">
        <f>AF43</f>
        <v>2</v>
      </c>
      <c r="AQ33" s="12">
        <f>AF44</f>
        <v>3</v>
      </c>
      <c r="AR33" s="12">
        <f>AF45</f>
        <v>3</v>
      </c>
      <c r="AS33" s="12">
        <f>AG45</f>
        <v>4</v>
      </c>
      <c r="AT33" s="12">
        <f>AF47</f>
        <v>3</v>
      </c>
      <c r="AU33" s="12">
        <f>AF48</f>
        <v>2</v>
      </c>
      <c r="AV33" s="12">
        <f>AF49</f>
        <v>2</v>
      </c>
      <c r="AW33" s="12">
        <f>AF50</f>
        <v>4</v>
      </c>
      <c r="AX33" s="12">
        <f>AF51</f>
        <v>2</v>
      </c>
      <c r="AY33" s="12">
        <f>AF52</f>
        <v>4</v>
      </c>
      <c r="AZ33" s="12">
        <f>AF53</f>
        <v>4</v>
      </c>
      <c r="BA33" s="12">
        <f>AF54</f>
        <v>3</v>
      </c>
      <c r="BB33" s="12">
        <f>AF55</f>
        <v>4</v>
      </c>
      <c r="BC33" s="12">
        <f>AF56</f>
        <v>4</v>
      </c>
      <c r="BD33" s="12">
        <f>AF57</f>
        <v>4</v>
      </c>
      <c r="BE33" s="12">
        <f>AF58</f>
        <v>1</v>
      </c>
      <c r="BF33" s="12">
        <f>AG58</f>
        <v>3</v>
      </c>
      <c r="BG33" s="12">
        <f>AF60</f>
        <v>3</v>
      </c>
      <c r="BH33" s="12">
        <f>AF61</f>
        <v>2</v>
      </c>
      <c r="BI33" s="12">
        <f>AF62</f>
        <v>2</v>
      </c>
      <c r="BJ33" s="12">
        <f>AF63</f>
        <v>3</v>
      </c>
      <c r="BK33" s="12">
        <f>AF64</f>
        <v>3</v>
      </c>
      <c r="BL33" s="12">
        <f>AF65</f>
        <v>4</v>
      </c>
      <c r="BM33" s="12">
        <f>AF66</f>
        <v>4</v>
      </c>
      <c r="BN33" s="12">
        <f>AF67</f>
        <v>4</v>
      </c>
      <c r="BO33" s="12">
        <f>AF68</f>
        <v>4</v>
      </c>
      <c r="BP33" s="12">
        <f>AF69</f>
        <v>4</v>
      </c>
      <c r="BQ33" s="12">
        <f>AF70</f>
        <v>2</v>
      </c>
      <c r="BR33" s="12">
        <f>AF71</f>
        <v>3</v>
      </c>
      <c r="BS33" s="12">
        <f>AF72</f>
        <v>4</v>
      </c>
      <c r="BT33" s="12">
        <f>AF73</f>
        <v>3</v>
      </c>
      <c r="BU33" s="12">
        <f>AF74</f>
        <v>3</v>
      </c>
      <c r="BV33" s="12">
        <f>AF75</f>
        <v>4</v>
      </c>
      <c r="BW33" s="12">
        <f>AF76</f>
        <v>3</v>
      </c>
      <c r="BX33" s="12">
        <f>AF77</f>
        <v>3</v>
      </c>
      <c r="BY33" s="12">
        <f>AF78</f>
        <v>3</v>
      </c>
      <c r="BZ33" s="12">
        <f>AF79</f>
        <v>3</v>
      </c>
      <c r="CA33" s="12">
        <f>AF80</f>
        <v>2</v>
      </c>
      <c r="CB33" s="12">
        <f>AF81</f>
        <v>3</v>
      </c>
      <c r="CC33" s="12">
        <f>AF82</f>
        <v>4</v>
      </c>
      <c r="CD33" s="12">
        <f>AF83</f>
        <v>4</v>
      </c>
      <c r="CE33" s="12">
        <f>AF84</f>
        <v>4</v>
      </c>
      <c r="CF33" s="12">
        <f>AF85</f>
        <v>3</v>
      </c>
      <c r="CG33" s="12">
        <f>AF86</f>
        <v>4</v>
      </c>
      <c r="CH33" s="15">
        <f>AF87</f>
        <v>4</v>
      </c>
    </row>
    <row r="34" spans="1:86" ht="12.75" customHeight="1" x14ac:dyDescent="0.25">
      <c r="A34" s="11" t="s">
        <v>50</v>
      </c>
      <c r="B34" s="12">
        <v>4</v>
      </c>
      <c r="C34" s="12">
        <v>4</v>
      </c>
      <c r="D34" s="12">
        <v>4</v>
      </c>
      <c r="E34" s="12">
        <v>4</v>
      </c>
      <c r="F34" s="12">
        <v>4</v>
      </c>
      <c r="G34" s="12">
        <v>4</v>
      </c>
      <c r="H34" s="71">
        <v>4</v>
      </c>
      <c r="I34" s="71">
        <v>3</v>
      </c>
      <c r="J34" s="12">
        <v>3</v>
      </c>
      <c r="K34" s="12">
        <v>4</v>
      </c>
      <c r="L34" s="12">
        <v>4</v>
      </c>
      <c r="M34" s="12">
        <v>4</v>
      </c>
      <c r="N34" s="12">
        <v>3</v>
      </c>
      <c r="O34" s="12">
        <v>4</v>
      </c>
      <c r="P34" s="12">
        <v>4</v>
      </c>
      <c r="Q34" s="12">
        <v>4</v>
      </c>
      <c r="R34" s="12">
        <v>4</v>
      </c>
      <c r="S34" s="12">
        <v>3</v>
      </c>
      <c r="T34" s="12">
        <v>4</v>
      </c>
      <c r="U34" s="12">
        <v>4</v>
      </c>
      <c r="V34" s="12">
        <v>4</v>
      </c>
      <c r="W34" s="12">
        <v>4</v>
      </c>
      <c r="X34" s="12">
        <v>3</v>
      </c>
      <c r="Y34" s="12">
        <v>4</v>
      </c>
      <c r="Z34" s="12">
        <v>4</v>
      </c>
      <c r="AA34" s="12">
        <v>4</v>
      </c>
      <c r="AB34" s="12">
        <v>4</v>
      </c>
      <c r="AC34" s="12">
        <v>4</v>
      </c>
      <c r="AD34" s="12">
        <v>4</v>
      </c>
      <c r="AE34" s="12">
        <v>4</v>
      </c>
      <c r="AF34" s="12">
        <v>4</v>
      </c>
      <c r="AG34" s="12" t="s">
        <v>63</v>
      </c>
      <c r="AH34" s="12">
        <f>AG35</f>
        <v>4</v>
      </c>
      <c r="AI34" s="12">
        <f>AG36</f>
        <v>4</v>
      </c>
      <c r="AJ34" s="12">
        <f>AG37</f>
        <v>4</v>
      </c>
      <c r="AK34" s="12">
        <f>AG38</f>
        <v>3</v>
      </c>
      <c r="AL34" s="12">
        <f>AG39</f>
        <v>4</v>
      </c>
      <c r="AM34" s="12">
        <f>AG40</f>
        <v>4</v>
      </c>
      <c r="AN34" s="12">
        <f>AG41</f>
        <v>4</v>
      </c>
      <c r="AO34" s="12">
        <f>AG42</f>
        <v>4</v>
      </c>
      <c r="AP34" s="12">
        <f>AG43</f>
        <v>1</v>
      </c>
      <c r="AQ34" s="12">
        <f>AG44</f>
        <v>4</v>
      </c>
      <c r="AR34" s="12">
        <f>AG45</f>
        <v>4</v>
      </c>
      <c r="AS34" s="12">
        <f>AG46</f>
        <v>4</v>
      </c>
      <c r="AT34" s="12">
        <f>AH46</f>
        <v>4</v>
      </c>
      <c r="AU34" s="12">
        <f>AH46</f>
        <v>4</v>
      </c>
      <c r="AV34" s="12">
        <f>AG49</f>
        <v>3</v>
      </c>
      <c r="AW34" s="12">
        <f>AG50</f>
        <v>4</v>
      </c>
      <c r="AX34" s="12">
        <f>AG51</f>
        <v>3</v>
      </c>
      <c r="AY34" s="12">
        <f>AG52</f>
        <v>4</v>
      </c>
      <c r="AZ34" s="12">
        <f>AG53</f>
        <v>4</v>
      </c>
      <c r="BA34" s="12">
        <f>AG54</f>
        <v>3</v>
      </c>
      <c r="BB34" s="12">
        <f>AG55</f>
        <v>4</v>
      </c>
      <c r="BC34" s="12">
        <f>AG56</f>
        <v>4</v>
      </c>
      <c r="BD34" s="12">
        <f>AG57</f>
        <v>4</v>
      </c>
      <c r="BE34" s="12">
        <f>AG58</f>
        <v>3</v>
      </c>
      <c r="BF34" s="12">
        <f>AH58</f>
        <v>2</v>
      </c>
      <c r="BG34" s="12">
        <f>AG60</f>
        <v>4</v>
      </c>
      <c r="BH34" s="12">
        <f>AG61</f>
        <v>3</v>
      </c>
      <c r="BI34" s="12">
        <f>AG62</f>
        <v>3</v>
      </c>
      <c r="BJ34" s="12">
        <f>AG63</f>
        <v>4</v>
      </c>
      <c r="BK34" s="12">
        <f>AG64</f>
        <v>4</v>
      </c>
      <c r="BL34" s="12">
        <f>AG65</f>
        <v>4</v>
      </c>
      <c r="BM34" s="12">
        <f>AG66</f>
        <v>4</v>
      </c>
      <c r="BN34" s="12">
        <f>AG67</f>
        <v>4</v>
      </c>
      <c r="BO34" s="12">
        <f>AG68</f>
        <v>3</v>
      </c>
      <c r="BP34" s="12">
        <f>AG69</f>
        <v>4</v>
      </c>
      <c r="BQ34" s="12">
        <f>AG70</f>
        <v>3</v>
      </c>
      <c r="BR34" s="12">
        <f>AG71</f>
        <v>4</v>
      </c>
      <c r="BS34" s="12">
        <f>AG72</f>
        <v>4</v>
      </c>
      <c r="BT34" s="12">
        <f>AG73</f>
        <v>3</v>
      </c>
      <c r="BU34" s="12">
        <f>AG74</f>
        <v>3</v>
      </c>
      <c r="BV34" s="12">
        <f>AG75</f>
        <v>3</v>
      </c>
      <c r="BW34" s="12">
        <f>AG76</f>
        <v>4</v>
      </c>
      <c r="BX34" s="12">
        <f>AG77</f>
        <v>4</v>
      </c>
      <c r="BY34" s="12">
        <f>AG78</f>
        <v>3</v>
      </c>
      <c r="BZ34" s="12">
        <f>AG79</f>
        <v>3</v>
      </c>
      <c r="CA34" s="12">
        <f>AG80</f>
        <v>3</v>
      </c>
      <c r="CB34" s="12">
        <f>AG81</f>
        <v>4</v>
      </c>
      <c r="CC34" s="12">
        <f>AG82</f>
        <v>4</v>
      </c>
      <c r="CD34" s="12">
        <f>AG83</f>
        <v>3</v>
      </c>
      <c r="CE34" s="12">
        <f>AG84</f>
        <v>4</v>
      </c>
      <c r="CF34" s="12">
        <f>AG85</f>
        <v>3</v>
      </c>
      <c r="CG34" s="12">
        <f>AG86</f>
        <v>4</v>
      </c>
      <c r="CH34" s="66">
        <f>AG87</f>
        <v>4</v>
      </c>
    </row>
    <row r="35" spans="1:86" ht="12.75" customHeight="1" x14ac:dyDescent="0.25">
      <c r="A35" s="11" t="s">
        <v>62</v>
      </c>
      <c r="B35" s="12">
        <v>3</v>
      </c>
      <c r="C35" s="12">
        <v>3</v>
      </c>
      <c r="D35" s="12">
        <v>3</v>
      </c>
      <c r="E35" s="12">
        <v>4</v>
      </c>
      <c r="F35" s="12">
        <v>4</v>
      </c>
      <c r="G35" s="12">
        <v>4</v>
      </c>
      <c r="H35" s="71">
        <v>4</v>
      </c>
      <c r="I35" s="71">
        <v>1</v>
      </c>
      <c r="J35" s="12">
        <v>2</v>
      </c>
      <c r="K35" s="12">
        <v>3</v>
      </c>
      <c r="L35" s="12">
        <v>3</v>
      </c>
      <c r="M35" s="12">
        <v>3</v>
      </c>
      <c r="N35" s="12">
        <v>2</v>
      </c>
      <c r="O35" s="12">
        <v>4</v>
      </c>
      <c r="P35" s="12">
        <v>3</v>
      </c>
      <c r="Q35" s="12">
        <v>4</v>
      </c>
      <c r="R35" s="12">
        <v>4</v>
      </c>
      <c r="S35" s="12">
        <v>2</v>
      </c>
      <c r="T35" s="12">
        <v>3</v>
      </c>
      <c r="U35" s="12">
        <v>4</v>
      </c>
      <c r="V35" s="12">
        <v>3</v>
      </c>
      <c r="W35" s="12">
        <v>3</v>
      </c>
      <c r="X35" s="12">
        <v>4</v>
      </c>
      <c r="Y35" s="12">
        <v>3</v>
      </c>
      <c r="Z35" s="12">
        <v>3</v>
      </c>
      <c r="AA35" s="12">
        <v>4</v>
      </c>
      <c r="AB35" s="12">
        <v>3</v>
      </c>
      <c r="AC35" s="12">
        <v>4</v>
      </c>
      <c r="AD35" s="12">
        <v>3</v>
      </c>
      <c r="AE35" s="12">
        <v>3</v>
      </c>
      <c r="AF35" s="12">
        <v>4</v>
      </c>
      <c r="AG35" s="12">
        <v>4</v>
      </c>
      <c r="AH35" s="12" t="s">
        <v>63</v>
      </c>
      <c r="AI35" s="12">
        <f>AH36</f>
        <v>4</v>
      </c>
      <c r="AJ35" s="12">
        <f>AH37</f>
        <v>4</v>
      </c>
      <c r="AK35" s="12">
        <f>AH38</f>
        <v>3</v>
      </c>
      <c r="AL35" s="12">
        <f>AH39</f>
        <v>4</v>
      </c>
      <c r="AM35" s="12">
        <f>AH40</f>
        <v>3</v>
      </c>
      <c r="AN35" s="12">
        <f>AH41</f>
        <v>3</v>
      </c>
      <c r="AO35" s="12">
        <f>AH42</f>
        <v>4</v>
      </c>
      <c r="AP35" s="12">
        <f>AH43</f>
        <v>3</v>
      </c>
      <c r="AQ35" s="12">
        <f>AH44</f>
        <v>3</v>
      </c>
      <c r="AR35" s="12">
        <f>AH45</f>
        <v>3</v>
      </c>
      <c r="AS35" s="12">
        <f>AH46</f>
        <v>4</v>
      </c>
      <c r="AT35" s="12">
        <f>AH47</f>
        <v>3</v>
      </c>
      <c r="AU35" s="12">
        <f>AH48</f>
        <v>3</v>
      </c>
      <c r="AV35" s="12">
        <f>AI48</f>
        <v>3</v>
      </c>
      <c r="AW35" s="12">
        <f>AH50</f>
        <v>4</v>
      </c>
      <c r="AX35" s="12">
        <f>AH51</f>
        <v>3</v>
      </c>
      <c r="AY35" s="12">
        <f>AH52</f>
        <v>4</v>
      </c>
      <c r="AZ35" s="12">
        <f>AH53</f>
        <v>4</v>
      </c>
      <c r="BA35" s="12">
        <f>AH54</f>
        <v>3</v>
      </c>
      <c r="BB35" s="12">
        <f>AH55</f>
        <v>4</v>
      </c>
      <c r="BC35" s="12">
        <f>AH56</f>
        <v>4</v>
      </c>
      <c r="BD35" s="12">
        <f>AH57</f>
        <v>4</v>
      </c>
      <c r="BE35" s="12">
        <f>AH58</f>
        <v>2</v>
      </c>
      <c r="BF35" s="12">
        <f>AI58</f>
        <v>2</v>
      </c>
      <c r="BG35" s="12">
        <f>AH60</f>
        <v>3</v>
      </c>
      <c r="BH35" s="12">
        <f>AH61</f>
        <v>3</v>
      </c>
      <c r="BI35" s="12">
        <f>AH62</f>
        <v>3</v>
      </c>
      <c r="BJ35" s="12">
        <f>AH63</f>
        <v>3</v>
      </c>
      <c r="BK35" s="12">
        <f>AH64</f>
        <v>3</v>
      </c>
      <c r="BL35" s="12">
        <f>AH65</f>
        <v>4</v>
      </c>
      <c r="BM35" s="12">
        <f>AH66</f>
        <v>4</v>
      </c>
      <c r="BN35" s="12">
        <f>AH67</f>
        <v>4</v>
      </c>
      <c r="BO35" s="12">
        <f>AH68</f>
        <v>4</v>
      </c>
      <c r="BP35" s="12">
        <f>AH69</f>
        <v>4</v>
      </c>
      <c r="BQ35" s="12">
        <f>AH70</f>
        <v>3</v>
      </c>
      <c r="BR35" s="12">
        <f>AH71</f>
        <v>4</v>
      </c>
      <c r="BS35" s="12">
        <f>AH72</f>
        <v>4</v>
      </c>
      <c r="BT35" s="12">
        <f>AH73</f>
        <v>3</v>
      </c>
      <c r="BU35" s="12">
        <f>AH74</f>
        <v>3</v>
      </c>
      <c r="BV35" s="12">
        <f>AH75</f>
        <v>4</v>
      </c>
      <c r="BW35" s="12">
        <f>AH76</f>
        <v>3</v>
      </c>
      <c r="BX35" s="12">
        <f>AH77</f>
        <v>3</v>
      </c>
      <c r="BY35" s="12">
        <f>AH78</f>
        <v>3</v>
      </c>
      <c r="BZ35" s="12">
        <f>AH79</f>
        <v>3</v>
      </c>
      <c r="CA35" s="12">
        <f>AH80</f>
        <v>3</v>
      </c>
      <c r="CB35" s="12">
        <f>AH81</f>
        <v>3</v>
      </c>
      <c r="CC35" s="12">
        <f>AH82</f>
        <v>4</v>
      </c>
      <c r="CD35" s="12">
        <f>AH83</f>
        <v>4</v>
      </c>
      <c r="CE35" s="12">
        <f>AH84</f>
        <v>4</v>
      </c>
      <c r="CF35" s="12">
        <f>AH85</f>
        <v>3</v>
      </c>
      <c r="CG35" s="12">
        <f>AH86</f>
        <v>4</v>
      </c>
      <c r="CH35" s="66">
        <f>AH87</f>
        <v>4</v>
      </c>
    </row>
    <row r="36" spans="1:86" ht="12.75" customHeight="1" x14ac:dyDescent="0.25">
      <c r="A36" s="11" t="s">
        <v>17</v>
      </c>
      <c r="B36" s="12">
        <v>3</v>
      </c>
      <c r="C36" s="12">
        <v>3</v>
      </c>
      <c r="D36" s="12">
        <v>3</v>
      </c>
      <c r="E36" s="12">
        <v>4</v>
      </c>
      <c r="F36" s="12">
        <v>4</v>
      </c>
      <c r="G36" s="12">
        <v>4</v>
      </c>
      <c r="H36" s="71">
        <v>4</v>
      </c>
      <c r="I36" s="71">
        <v>3</v>
      </c>
      <c r="J36" s="12">
        <v>3</v>
      </c>
      <c r="K36" s="12">
        <v>3</v>
      </c>
      <c r="L36" s="12">
        <v>3</v>
      </c>
      <c r="M36" s="12">
        <v>3</v>
      </c>
      <c r="N36" s="12">
        <v>2</v>
      </c>
      <c r="O36" s="12">
        <v>4</v>
      </c>
      <c r="P36" s="12">
        <v>3</v>
      </c>
      <c r="Q36" s="12">
        <v>4</v>
      </c>
      <c r="R36" s="12">
        <v>4</v>
      </c>
      <c r="S36" s="12">
        <v>3</v>
      </c>
      <c r="T36" s="12">
        <v>3</v>
      </c>
      <c r="U36" s="12">
        <v>4</v>
      </c>
      <c r="V36" s="12">
        <v>3</v>
      </c>
      <c r="W36" s="12">
        <v>3</v>
      </c>
      <c r="X36" s="12">
        <v>3</v>
      </c>
      <c r="Y36" s="12">
        <v>3</v>
      </c>
      <c r="Z36" s="12">
        <v>3</v>
      </c>
      <c r="AA36" s="12">
        <v>4</v>
      </c>
      <c r="AB36" s="12">
        <v>3</v>
      </c>
      <c r="AC36" s="12">
        <v>4</v>
      </c>
      <c r="AD36" s="12">
        <v>3</v>
      </c>
      <c r="AE36" s="12">
        <v>3</v>
      </c>
      <c r="AF36" s="12">
        <v>4</v>
      </c>
      <c r="AG36" s="12">
        <v>4</v>
      </c>
      <c r="AH36" s="12">
        <v>4</v>
      </c>
      <c r="AI36" s="12" t="s">
        <v>63</v>
      </c>
      <c r="AJ36" s="12">
        <f>AI37</f>
        <v>4</v>
      </c>
      <c r="AK36" s="12">
        <f>AI38</f>
        <v>2</v>
      </c>
      <c r="AL36" s="12">
        <f>AI39</f>
        <v>4</v>
      </c>
      <c r="AM36" s="12">
        <f>AI40</f>
        <v>3</v>
      </c>
      <c r="AN36" s="12">
        <f>AI41</f>
        <v>3</v>
      </c>
      <c r="AO36" s="12">
        <f>AI42</f>
        <v>4</v>
      </c>
      <c r="AP36" s="12">
        <f>AI43</f>
        <v>1</v>
      </c>
      <c r="AQ36" s="12">
        <f>AI44</f>
        <v>3</v>
      </c>
      <c r="AR36" s="12">
        <f>AI45</f>
        <v>3</v>
      </c>
      <c r="AS36" s="12">
        <f>AI46</f>
        <v>4</v>
      </c>
      <c r="AT36" s="12">
        <f>AI47</f>
        <v>3</v>
      </c>
      <c r="AU36" s="12">
        <f>AI48</f>
        <v>3</v>
      </c>
      <c r="AV36" s="12">
        <f>AI49</f>
        <v>3</v>
      </c>
      <c r="AW36" s="12">
        <f>AJ49</f>
        <v>3</v>
      </c>
      <c r="AX36" s="12">
        <f>AI51</f>
        <v>2</v>
      </c>
      <c r="AY36" s="12">
        <f>AI52</f>
        <v>4</v>
      </c>
      <c r="AZ36" s="12">
        <f>AI53</f>
        <v>4</v>
      </c>
      <c r="BA36" s="12">
        <f>AI54</f>
        <v>3</v>
      </c>
      <c r="BB36" s="12">
        <f>AI55</f>
        <v>4</v>
      </c>
      <c r="BC36" s="12">
        <f>AI56</f>
        <v>4</v>
      </c>
      <c r="BD36" s="12">
        <f>AI57</f>
        <v>4</v>
      </c>
      <c r="BE36" s="12">
        <f>AI58</f>
        <v>2</v>
      </c>
      <c r="BF36" s="12">
        <f>AJ58</f>
        <v>3</v>
      </c>
      <c r="BG36" s="12">
        <f>AI60</f>
        <v>3</v>
      </c>
      <c r="BH36" s="12">
        <f>AI61</f>
        <v>3</v>
      </c>
      <c r="BI36" s="12">
        <f>AI62</f>
        <v>3</v>
      </c>
      <c r="BJ36" s="12">
        <f>AI63</f>
        <v>3</v>
      </c>
      <c r="BK36" s="12">
        <f>AI64</f>
        <v>3</v>
      </c>
      <c r="BL36" s="12">
        <f>AI65</f>
        <v>4</v>
      </c>
      <c r="BM36" s="12">
        <f>AI66</f>
        <v>4</v>
      </c>
      <c r="BN36" s="12">
        <f>AI67</f>
        <v>4</v>
      </c>
      <c r="BO36" s="12">
        <f>AI68</f>
        <v>3</v>
      </c>
      <c r="BP36" s="12">
        <f>AI69</f>
        <v>1</v>
      </c>
      <c r="BQ36" s="12">
        <f>AI70</f>
        <v>3</v>
      </c>
      <c r="BR36" s="12">
        <f>AI71</f>
        <v>4</v>
      </c>
      <c r="BS36" s="12">
        <f>AI72</f>
        <v>4</v>
      </c>
      <c r="BT36" s="12">
        <f>AI73</f>
        <v>3</v>
      </c>
      <c r="BU36" s="12">
        <f>AI74</f>
        <v>3</v>
      </c>
      <c r="BV36" s="12">
        <f>AI75</f>
        <v>2</v>
      </c>
      <c r="BW36" s="12">
        <f>AI76</f>
        <v>3</v>
      </c>
      <c r="BX36" s="12">
        <f>AI77</f>
        <v>3</v>
      </c>
      <c r="BY36" s="12">
        <f>AI78</f>
        <v>3</v>
      </c>
      <c r="BZ36" s="12">
        <f>AI79</f>
        <v>3</v>
      </c>
      <c r="CA36" s="12">
        <f>AI80</f>
        <v>3</v>
      </c>
      <c r="CB36" s="12">
        <f>AI81</f>
        <v>3</v>
      </c>
      <c r="CC36" s="12">
        <f>AI82</f>
        <v>4</v>
      </c>
      <c r="CD36" s="12">
        <f>AI83</f>
        <v>3</v>
      </c>
      <c r="CE36" s="12">
        <f>AI84</f>
        <v>4</v>
      </c>
      <c r="CF36" s="12">
        <f>AI85</f>
        <v>3</v>
      </c>
      <c r="CG36" s="12">
        <f>AI86</f>
        <v>4</v>
      </c>
      <c r="CH36" s="66">
        <f>AI87</f>
        <v>4</v>
      </c>
    </row>
    <row r="37" spans="1:86" ht="12.75" customHeight="1" x14ac:dyDescent="0.25">
      <c r="A37" s="11" t="s">
        <v>263</v>
      </c>
      <c r="B37" s="12">
        <v>4</v>
      </c>
      <c r="C37" s="12">
        <v>4</v>
      </c>
      <c r="D37" s="12">
        <v>4</v>
      </c>
      <c r="E37" s="12">
        <v>4</v>
      </c>
      <c r="F37" s="12">
        <v>4</v>
      </c>
      <c r="G37" s="12">
        <v>4</v>
      </c>
      <c r="H37" s="71">
        <v>4</v>
      </c>
      <c r="I37" s="71">
        <v>3</v>
      </c>
      <c r="J37" s="12">
        <v>3</v>
      </c>
      <c r="K37" s="12">
        <v>4</v>
      </c>
      <c r="L37" s="12">
        <v>4</v>
      </c>
      <c r="M37" s="12">
        <v>4</v>
      </c>
      <c r="N37" s="12">
        <v>3</v>
      </c>
      <c r="O37" s="12">
        <v>4</v>
      </c>
      <c r="P37" s="12">
        <v>4</v>
      </c>
      <c r="Q37" s="12">
        <v>3</v>
      </c>
      <c r="R37" s="12">
        <v>4</v>
      </c>
      <c r="S37" s="12">
        <v>3</v>
      </c>
      <c r="T37" s="12">
        <v>4</v>
      </c>
      <c r="U37" s="12">
        <v>4</v>
      </c>
      <c r="V37" s="12">
        <v>3</v>
      </c>
      <c r="W37" s="12">
        <v>4</v>
      </c>
      <c r="X37" s="12">
        <v>4</v>
      </c>
      <c r="Y37" s="12">
        <v>4</v>
      </c>
      <c r="Z37" s="12">
        <v>3</v>
      </c>
      <c r="AA37" s="12">
        <v>4</v>
      </c>
      <c r="AB37" s="12">
        <v>3</v>
      </c>
      <c r="AC37" s="12">
        <v>4</v>
      </c>
      <c r="AD37" s="12">
        <v>3</v>
      </c>
      <c r="AE37" s="12">
        <v>3</v>
      </c>
      <c r="AF37" s="12">
        <v>4</v>
      </c>
      <c r="AG37" s="12">
        <v>4</v>
      </c>
      <c r="AH37" s="12">
        <v>4</v>
      </c>
      <c r="AI37" s="12">
        <v>4</v>
      </c>
      <c r="AJ37" s="12" t="s">
        <v>63</v>
      </c>
      <c r="AK37" s="12">
        <f>AJ38</f>
        <v>1</v>
      </c>
      <c r="AL37" s="12">
        <f>AJ39</f>
        <v>4</v>
      </c>
      <c r="AM37" s="12">
        <f>AJ40</f>
        <v>4</v>
      </c>
      <c r="AN37" s="12">
        <f>AJ41</f>
        <v>4</v>
      </c>
      <c r="AO37" s="12">
        <f>AJ42</f>
        <v>4</v>
      </c>
      <c r="AP37" s="12">
        <f>AJ43</f>
        <v>3</v>
      </c>
      <c r="AQ37" s="12">
        <f>AJ44</f>
        <v>4</v>
      </c>
      <c r="AR37" s="12">
        <f>AJ45</f>
        <v>4</v>
      </c>
      <c r="AS37" s="12">
        <f>AJ46</f>
        <v>4</v>
      </c>
      <c r="AT37" s="12">
        <f>AJ47</f>
        <v>4</v>
      </c>
      <c r="AU37" s="12">
        <f>AJ48</f>
        <v>3</v>
      </c>
      <c r="AV37" s="12">
        <f>AJ49</f>
        <v>3</v>
      </c>
      <c r="AW37" s="12">
        <f>AJ50</f>
        <v>4</v>
      </c>
      <c r="AX37" s="12">
        <f>AK50</f>
        <v>3</v>
      </c>
      <c r="AY37" s="12">
        <f>AJ52</f>
        <v>4</v>
      </c>
      <c r="AZ37" s="12">
        <f>AJ53</f>
        <v>4</v>
      </c>
      <c r="BA37" s="12">
        <f>AJ54</f>
        <v>3</v>
      </c>
      <c r="BB37" s="12">
        <f>AJ55</f>
        <v>2</v>
      </c>
      <c r="BC37" s="12">
        <f>AJ56</f>
        <v>4</v>
      </c>
      <c r="BD37" s="12">
        <f>AJ57</f>
        <v>4</v>
      </c>
      <c r="BE37" s="12">
        <f>AJ58</f>
        <v>3</v>
      </c>
      <c r="BF37" s="12">
        <f>AK58</f>
        <v>1</v>
      </c>
      <c r="BG37" s="12">
        <f>AJ60</f>
        <v>3</v>
      </c>
      <c r="BH37" s="12">
        <f>AJ61</f>
        <v>3</v>
      </c>
      <c r="BI37" s="12">
        <f>AJ62</f>
        <v>3</v>
      </c>
      <c r="BJ37" s="12">
        <f>AJ63</f>
        <v>3</v>
      </c>
      <c r="BK37" s="12">
        <f>AJ64</f>
        <v>3</v>
      </c>
      <c r="BL37" s="12">
        <f>AJ65</f>
        <v>4</v>
      </c>
      <c r="BM37" s="12">
        <f>AJ66</f>
        <v>2</v>
      </c>
      <c r="BN37" s="12">
        <f>AJ67</f>
        <v>4</v>
      </c>
      <c r="BO37" s="12">
        <f>AJ68</f>
        <v>4</v>
      </c>
      <c r="BP37" s="12">
        <f>AJ69</f>
        <v>4</v>
      </c>
      <c r="BQ37" s="12">
        <f>AJ70</f>
        <v>3</v>
      </c>
      <c r="BR37" s="12">
        <f>AJ71</f>
        <v>4</v>
      </c>
      <c r="BS37" s="12">
        <f>AJ72</f>
        <v>4</v>
      </c>
      <c r="BT37" s="12">
        <f>AJ73</f>
        <v>3</v>
      </c>
      <c r="BU37" s="12">
        <f>AJ74</f>
        <v>3</v>
      </c>
      <c r="BV37" s="12">
        <f>AJ75</f>
        <v>4</v>
      </c>
      <c r="BW37" s="12">
        <f>AJ76</f>
        <v>3</v>
      </c>
      <c r="BX37" s="12">
        <f>AJ77</f>
        <v>3</v>
      </c>
      <c r="BY37" s="12">
        <f>AJ78</f>
        <v>3</v>
      </c>
      <c r="BZ37" s="12">
        <f>AJ79</f>
        <v>3</v>
      </c>
      <c r="CA37" s="12">
        <f>AJ80</f>
        <v>3</v>
      </c>
      <c r="CB37" s="12">
        <f>AJ81</f>
        <v>3</v>
      </c>
      <c r="CC37" s="12">
        <f>AJ82</f>
        <v>4</v>
      </c>
      <c r="CD37" s="12">
        <f>AJ83</f>
        <v>4</v>
      </c>
      <c r="CE37" s="12">
        <f>AJ84</f>
        <v>4</v>
      </c>
      <c r="CF37" s="12">
        <f>AJ85</f>
        <v>3</v>
      </c>
      <c r="CG37" s="12">
        <f>AJ86</f>
        <v>4</v>
      </c>
      <c r="CH37" s="66">
        <f>AJ87</f>
        <v>4</v>
      </c>
    </row>
    <row r="38" spans="1:86" ht="12.75" customHeight="1" x14ac:dyDescent="0.25">
      <c r="A38" s="11" t="s">
        <v>287</v>
      </c>
      <c r="B38" s="12">
        <v>2</v>
      </c>
      <c r="C38" s="12">
        <v>2</v>
      </c>
      <c r="D38" s="12">
        <v>2</v>
      </c>
      <c r="E38" s="12">
        <v>2</v>
      </c>
      <c r="F38" s="12">
        <v>3</v>
      </c>
      <c r="G38" s="12">
        <v>3</v>
      </c>
      <c r="H38" s="71">
        <v>3</v>
      </c>
      <c r="I38" s="71">
        <v>2</v>
      </c>
      <c r="J38" s="12">
        <v>2</v>
      </c>
      <c r="K38" s="12">
        <v>2</v>
      </c>
      <c r="L38" s="12">
        <v>2</v>
      </c>
      <c r="M38" s="12">
        <v>2</v>
      </c>
      <c r="N38" s="12">
        <v>1</v>
      </c>
      <c r="O38" s="12">
        <v>3</v>
      </c>
      <c r="P38" s="12">
        <v>2</v>
      </c>
      <c r="Q38" s="12">
        <v>1</v>
      </c>
      <c r="R38" s="12">
        <v>2</v>
      </c>
      <c r="S38" s="12">
        <v>2</v>
      </c>
      <c r="T38" s="12">
        <v>2</v>
      </c>
      <c r="U38" s="12">
        <v>3</v>
      </c>
      <c r="V38" s="12">
        <v>3</v>
      </c>
      <c r="W38" s="12">
        <v>2</v>
      </c>
      <c r="X38" s="12">
        <v>3</v>
      </c>
      <c r="Y38" s="12">
        <v>2</v>
      </c>
      <c r="Z38" s="12">
        <v>3</v>
      </c>
      <c r="AA38" s="12">
        <v>3</v>
      </c>
      <c r="AB38" s="12">
        <v>3</v>
      </c>
      <c r="AC38" s="12">
        <v>3</v>
      </c>
      <c r="AD38" s="12">
        <v>3</v>
      </c>
      <c r="AE38" s="12">
        <v>3</v>
      </c>
      <c r="AF38" s="12">
        <v>2</v>
      </c>
      <c r="AG38" s="12">
        <v>3</v>
      </c>
      <c r="AH38" s="12">
        <v>3</v>
      </c>
      <c r="AI38" s="12">
        <v>2</v>
      </c>
      <c r="AJ38" s="12">
        <v>1</v>
      </c>
      <c r="AK38" s="12" t="s">
        <v>63</v>
      </c>
      <c r="AL38" s="12">
        <f>AK39</f>
        <v>3</v>
      </c>
      <c r="AM38" s="12">
        <f>AK40</f>
        <v>4</v>
      </c>
      <c r="AN38" s="12">
        <f>AK41</f>
        <v>4</v>
      </c>
      <c r="AO38" s="12">
        <f>AK42</f>
        <v>3</v>
      </c>
      <c r="AP38" s="12">
        <f>AK43</f>
        <v>2</v>
      </c>
      <c r="AQ38" s="12">
        <f>AK44</f>
        <v>4</v>
      </c>
      <c r="AR38" s="12">
        <f>AK45</f>
        <v>4</v>
      </c>
      <c r="AS38" s="12">
        <f>AK46</f>
        <v>3</v>
      </c>
      <c r="AT38" s="12">
        <f>AK47</f>
        <v>4</v>
      </c>
      <c r="AU38" s="12">
        <f>AK48</f>
        <v>2</v>
      </c>
      <c r="AV38" s="12">
        <f>AK49</f>
        <v>2</v>
      </c>
      <c r="AW38" s="12">
        <f>AK50</f>
        <v>3</v>
      </c>
      <c r="AX38" s="12">
        <f>AK51</f>
        <v>1</v>
      </c>
      <c r="AY38" s="12">
        <f>AL51</f>
        <v>3</v>
      </c>
      <c r="AZ38" s="12">
        <f>AK53</f>
        <v>3</v>
      </c>
      <c r="BA38" s="12">
        <f>AK54</f>
        <v>2</v>
      </c>
      <c r="BB38" s="12">
        <f>AK55</f>
        <v>1</v>
      </c>
      <c r="BC38" s="12">
        <f>AK56</f>
        <v>3</v>
      </c>
      <c r="BD38" s="12">
        <f>AK57</f>
        <v>3</v>
      </c>
      <c r="BE38" s="12">
        <f>AK58</f>
        <v>1</v>
      </c>
      <c r="BF38" s="12">
        <f>AL58</f>
        <v>2</v>
      </c>
      <c r="BG38" s="12">
        <f>AK60</f>
        <v>3</v>
      </c>
      <c r="BH38" s="12">
        <f>AK61</f>
        <v>2</v>
      </c>
      <c r="BI38" s="12">
        <f>AK62</f>
        <v>2</v>
      </c>
      <c r="BJ38" s="12">
        <f>AK63</f>
        <v>3</v>
      </c>
      <c r="BK38" s="12">
        <f>AK64</f>
        <v>3</v>
      </c>
      <c r="BL38" s="12">
        <f>AK65</f>
        <v>3</v>
      </c>
      <c r="BM38" s="12">
        <f>AK66</f>
        <v>1</v>
      </c>
      <c r="BN38" s="12">
        <f>AK67</f>
        <v>3</v>
      </c>
      <c r="BO38" s="12">
        <f>AK68</f>
        <v>3</v>
      </c>
      <c r="BP38" s="12">
        <f>AK69</f>
        <v>3</v>
      </c>
      <c r="BQ38" s="12">
        <f>AK70</f>
        <v>2</v>
      </c>
      <c r="BR38" s="12">
        <f>AK71</f>
        <v>2</v>
      </c>
      <c r="BS38" s="12">
        <f>AK72</f>
        <v>3</v>
      </c>
      <c r="BT38" s="12">
        <f>AK73</f>
        <v>2</v>
      </c>
      <c r="BU38" s="12">
        <f>AK74</f>
        <v>2</v>
      </c>
      <c r="BV38" s="12">
        <f>AK75</f>
        <v>2</v>
      </c>
      <c r="BW38" s="12">
        <f>AK76</f>
        <v>3</v>
      </c>
      <c r="BX38" s="12">
        <f>AK77</f>
        <v>3</v>
      </c>
      <c r="BY38" s="12">
        <f>AK78</f>
        <v>2</v>
      </c>
      <c r="BZ38" s="12">
        <f>AK79</f>
        <v>2</v>
      </c>
      <c r="CA38" s="12">
        <f>AK80</f>
        <v>2</v>
      </c>
      <c r="CB38" s="12">
        <f>AK81</f>
        <v>3</v>
      </c>
      <c r="CC38" s="12">
        <f>AK82</f>
        <v>3</v>
      </c>
      <c r="CD38" s="12">
        <f>AK83</f>
        <v>3</v>
      </c>
      <c r="CE38" s="12">
        <f>AK84</f>
        <v>3</v>
      </c>
      <c r="CF38" s="12">
        <f>AK85</f>
        <v>2</v>
      </c>
      <c r="CG38" s="12">
        <f>AK86</f>
        <v>3</v>
      </c>
      <c r="CH38" s="15">
        <f>AK87</f>
        <v>3</v>
      </c>
    </row>
    <row r="39" spans="1:86" ht="12.75" customHeight="1" x14ac:dyDescent="0.25">
      <c r="A39" s="11" t="s">
        <v>45</v>
      </c>
      <c r="B39" s="12">
        <v>2</v>
      </c>
      <c r="C39" s="12">
        <v>2</v>
      </c>
      <c r="D39" s="12">
        <v>2</v>
      </c>
      <c r="E39" s="12">
        <v>4</v>
      </c>
      <c r="F39" s="12">
        <v>4</v>
      </c>
      <c r="G39" s="12">
        <v>4</v>
      </c>
      <c r="H39" s="71">
        <v>4</v>
      </c>
      <c r="I39" s="71">
        <v>3</v>
      </c>
      <c r="J39" s="12">
        <v>3</v>
      </c>
      <c r="K39" s="12">
        <v>2</v>
      </c>
      <c r="L39" s="12">
        <v>2</v>
      </c>
      <c r="M39" s="12">
        <v>2</v>
      </c>
      <c r="N39" s="12">
        <v>1</v>
      </c>
      <c r="O39" s="12">
        <v>4</v>
      </c>
      <c r="P39" s="12">
        <v>2</v>
      </c>
      <c r="Q39" s="12">
        <v>4</v>
      </c>
      <c r="R39" s="12">
        <v>4</v>
      </c>
      <c r="S39" s="12">
        <v>3</v>
      </c>
      <c r="T39" s="12">
        <v>2</v>
      </c>
      <c r="U39" s="12">
        <v>4</v>
      </c>
      <c r="V39" s="12">
        <v>2</v>
      </c>
      <c r="W39" s="12">
        <v>2</v>
      </c>
      <c r="X39" s="12">
        <v>4</v>
      </c>
      <c r="Y39" s="12">
        <v>2</v>
      </c>
      <c r="Z39" s="12">
        <v>2</v>
      </c>
      <c r="AA39" s="12">
        <v>4</v>
      </c>
      <c r="AB39" s="12">
        <v>2</v>
      </c>
      <c r="AC39" s="12">
        <v>4</v>
      </c>
      <c r="AD39" s="12">
        <v>2</v>
      </c>
      <c r="AE39" s="12">
        <v>2</v>
      </c>
      <c r="AF39" s="12">
        <v>4</v>
      </c>
      <c r="AG39" s="12">
        <v>4</v>
      </c>
      <c r="AH39" s="12">
        <v>4</v>
      </c>
      <c r="AI39" s="12">
        <v>4</v>
      </c>
      <c r="AJ39" s="12">
        <v>4</v>
      </c>
      <c r="AK39" s="12">
        <v>3</v>
      </c>
      <c r="AL39" s="12" t="s">
        <v>63</v>
      </c>
      <c r="AM39" s="12">
        <f>AL40</f>
        <v>2</v>
      </c>
      <c r="AN39" s="12">
        <f>AL41</f>
        <v>2</v>
      </c>
      <c r="AO39" s="12">
        <f>AL42</f>
        <v>3</v>
      </c>
      <c r="AP39" s="12">
        <f>AL43</f>
        <v>3</v>
      </c>
      <c r="AQ39" s="12">
        <f>AL44</f>
        <v>2</v>
      </c>
      <c r="AR39" s="12">
        <f>AL45</f>
        <v>2</v>
      </c>
      <c r="AS39" s="12">
        <f>AL46</f>
        <v>4</v>
      </c>
      <c r="AT39" s="12">
        <f>AL47</f>
        <v>2</v>
      </c>
      <c r="AU39" s="12">
        <f>AL48</f>
        <v>3</v>
      </c>
      <c r="AV39" s="12">
        <f>AL49</f>
        <v>3</v>
      </c>
      <c r="AW39" s="12">
        <f>AL50</f>
        <v>4</v>
      </c>
      <c r="AX39" s="12">
        <f>AL51</f>
        <v>3</v>
      </c>
      <c r="AY39" s="12">
        <f>AL52</f>
        <v>4</v>
      </c>
      <c r="AZ39" s="12">
        <f>AM52</f>
        <v>4</v>
      </c>
      <c r="BA39" s="12">
        <f>AL54</f>
        <v>3</v>
      </c>
      <c r="BB39" s="12">
        <f>AL55</f>
        <v>4</v>
      </c>
      <c r="BC39" s="12">
        <f>AL56</f>
        <v>4</v>
      </c>
      <c r="BD39" s="12">
        <f>AL57</f>
        <v>4</v>
      </c>
      <c r="BE39" s="12">
        <f>AL58</f>
        <v>2</v>
      </c>
      <c r="BF39" s="12">
        <f>AM58</f>
        <v>2</v>
      </c>
      <c r="BG39" s="12">
        <f>AL60</f>
        <v>2</v>
      </c>
      <c r="BH39" s="12">
        <f>AL61</f>
        <v>3</v>
      </c>
      <c r="BI39" s="12">
        <f>AL62</f>
        <v>3</v>
      </c>
      <c r="BJ39" s="12">
        <f>AL63</f>
        <v>2</v>
      </c>
      <c r="BK39" s="12">
        <f>AL64</f>
        <v>2</v>
      </c>
      <c r="BL39" s="12">
        <f>AL65</f>
        <v>4</v>
      </c>
      <c r="BM39" s="12">
        <f>AL66</f>
        <v>4</v>
      </c>
      <c r="BN39" s="12">
        <f>AL67</f>
        <v>4</v>
      </c>
      <c r="BO39" s="12">
        <f>AL68</f>
        <v>4</v>
      </c>
      <c r="BP39" s="12">
        <f>AL69</f>
        <v>4</v>
      </c>
      <c r="BQ39" s="12">
        <f>AL70</f>
        <v>3</v>
      </c>
      <c r="BR39" s="12">
        <f>AL71</f>
        <v>4</v>
      </c>
      <c r="BS39" s="12">
        <f>AL72</f>
        <v>3</v>
      </c>
      <c r="BT39" s="12">
        <f>AL73</f>
        <v>3</v>
      </c>
      <c r="BU39" s="12">
        <f>AL74</f>
        <v>3</v>
      </c>
      <c r="BV39" s="12">
        <f>AL75</f>
        <v>4</v>
      </c>
      <c r="BW39" s="12">
        <f>AL76</f>
        <v>2</v>
      </c>
      <c r="BX39" s="12">
        <f>AL77</f>
        <v>2</v>
      </c>
      <c r="BY39" s="12">
        <f>AL78</f>
        <v>3</v>
      </c>
      <c r="BZ39" s="12">
        <f>AL79</f>
        <v>3</v>
      </c>
      <c r="CA39" s="12">
        <f>AL80</f>
        <v>3</v>
      </c>
      <c r="CB39" s="12">
        <f>AL81</f>
        <v>2</v>
      </c>
      <c r="CC39" s="12">
        <f>AL82</f>
        <v>4</v>
      </c>
      <c r="CD39" s="12">
        <f>AL83</f>
        <v>4</v>
      </c>
      <c r="CE39" s="12">
        <f>AL84</f>
        <v>4</v>
      </c>
      <c r="CF39" s="12">
        <f>AL85</f>
        <v>3</v>
      </c>
      <c r="CG39" s="12">
        <f>AL86</f>
        <v>4</v>
      </c>
      <c r="CH39" s="66">
        <f>AL87</f>
        <v>4</v>
      </c>
    </row>
    <row r="40" spans="1:86" ht="12.75" customHeight="1" x14ac:dyDescent="0.25">
      <c r="A40" s="11" t="s">
        <v>288</v>
      </c>
      <c r="B40" s="12">
        <v>2</v>
      </c>
      <c r="C40" s="12">
        <v>2</v>
      </c>
      <c r="D40" s="12">
        <v>2</v>
      </c>
      <c r="E40" s="12">
        <v>3</v>
      </c>
      <c r="F40" s="12">
        <v>3</v>
      </c>
      <c r="G40" s="12">
        <v>3</v>
      </c>
      <c r="H40" s="71">
        <v>4</v>
      </c>
      <c r="I40" s="71">
        <v>2</v>
      </c>
      <c r="J40" s="12">
        <v>2</v>
      </c>
      <c r="K40" s="12">
        <v>2</v>
      </c>
      <c r="L40" s="12">
        <v>2</v>
      </c>
      <c r="M40" s="12">
        <v>2</v>
      </c>
      <c r="N40" s="12">
        <v>1</v>
      </c>
      <c r="O40" s="12">
        <v>4</v>
      </c>
      <c r="P40" s="12">
        <v>2</v>
      </c>
      <c r="Q40" s="12">
        <v>3</v>
      </c>
      <c r="R40" s="12">
        <v>3</v>
      </c>
      <c r="S40" s="12">
        <v>2</v>
      </c>
      <c r="T40" s="12">
        <v>2</v>
      </c>
      <c r="U40" s="12">
        <v>4</v>
      </c>
      <c r="V40" s="12">
        <v>2</v>
      </c>
      <c r="W40" s="12">
        <v>2</v>
      </c>
      <c r="X40" s="12">
        <v>2</v>
      </c>
      <c r="Y40" s="12">
        <v>2</v>
      </c>
      <c r="Z40" s="12">
        <v>2</v>
      </c>
      <c r="AA40" s="12">
        <v>4</v>
      </c>
      <c r="AB40" s="12">
        <v>2</v>
      </c>
      <c r="AC40" s="12">
        <v>4</v>
      </c>
      <c r="AD40" s="12">
        <v>2</v>
      </c>
      <c r="AE40" s="12">
        <v>2</v>
      </c>
      <c r="AF40" s="12">
        <v>3</v>
      </c>
      <c r="AG40" s="12">
        <v>4</v>
      </c>
      <c r="AH40" s="12">
        <v>3</v>
      </c>
      <c r="AI40" s="12">
        <v>3</v>
      </c>
      <c r="AJ40" s="12">
        <v>4</v>
      </c>
      <c r="AK40" s="12">
        <v>4</v>
      </c>
      <c r="AL40" s="12">
        <v>2</v>
      </c>
      <c r="AM40" s="12" t="s">
        <v>63</v>
      </c>
      <c r="AN40" s="12">
        <f>AM41</f>
        <v>2</v>
      </c>
      <c r="AO40" s="12">
        <f>AM42</f>
        <v>2</v>
      </c>
      <c r="AP40" s="12">
        <f>AM43</f>
        <v>2</v>
      </c>
      <c r="AQ40" s="12">
        <f>AM44</f>
        <v>2</v>
      </c>
      <c r="AR40" s="12">
        <f>AM45</f>
        <v>2</v>
      </c>
      <c r="AS40" s="12">
        <f>AM46</f>
        <v>3</v>
      </c>
      <c r="AT40" s="12">
        <f>AM47</f>
        <v>2</v>
      </c>
      <c r="AU40" s="12">
        <f>AM48</f>
        <v>2</v>
      </c>
      <c r="AV40" s="12">
        <f>AM49</f>
        <v>2</v>
      </c>
      <c r="AW40" s="12">
        <f>AM50</f>
        <v>2</v>
      </c>
      <c r="AX40" s="12">
        <f>AM51</f>
        <v>2</v>
      </c>
      <c r="AY40" s="12">
        <f>AM52</f>
        <v>4</v>
      </c>
      <c r="AZ40" s="12">
        <f>AM53</f>
        <v>3</v>
      </c>
      <c r="BA40" s="12">
        <f>AN53</f>
        <v>3</v>
      </c>
      <c r="BB40" s="12">
        <f>AM55</f>
        <v>3</v>
      </c>
      <c r="BC40" s="12">
        <f>AM56</f>
        <v>4</v>
      </c>
      <c r="BD40" s="12">
        <f>AM57</f>
        <v>4</v>
      </c>
      <c r="BE40" s="12">
        <f>AM58</f>
        <v>2</v>
      </c>
      <c r="BF40" s="12">
        <f>AN58</f>
        <v>2</v>
      </c>
      <c r="BG40" s="12">
        <f>AM60</f>
        <v>2</v>
      </c>
      <c r="BH40" s="12">
        <f>AM61</f>
        <v>2</v>
      </c>
      <c r="BI40" s="12">
        <f>AM62</f>
        <v>2</v>
      </c>
      <c r="BJ40" s="12">
        <f>AM63</f>
        <v>2</v>
      </c>
      <c r="BK40" s="12">
        <f>AM64</f>
        <v>2</v>
      </c>
      <c r="BL40" s="12">
        <f>AM65</f>
        <v>4</v>
      </c>
      <c r="BM40" s="12">
        <f>AM66</f>
        <v>3</v>
      </c>
      <c r="BN40" s="12">
        <f>AM67</f>
        <v>4</v>
      </c>
      <c r="BO40" s="12">
        <f>AM68</f>
        <v>3</v>
      </c>
      <c r="BP40" s="12">
        <f>AM69</f>
        <v>3</v>
      </c>
      <c r="BQ40" s="12">
        <f>AM70</f>
        <v>2</v>
      </c>
      <c r="BR40" s="12">
        <f>AM71</f>
        <v>3</v>
      </c>
      <c r="BS40" s="12">
        <f>AM72</f>
        <v>2</v>
      </c>
      <c r="BT40" s="12">
        <f>AM73</f>
        <v>2</v>
      </c>
      <c r="BU40" s="12">
        <f>AM74</f>
        <v>2</v>
      </c>
      <c r="BV40" s="12">
        <f>AM75</f>
        <v>3</v>
      </c>
      <c r="BW40" s="12">
        <f>AM76</f>
        <v>2</v>
      </c>
      <c r="BX40" s="12">
        <f>AM77</f>
        <v>2</v>
      </c>
      <c r="BY40" s="12">
        <f>AM78</f>
        <v>2</v>
      </c>
      <c r="BZ40" s="12">
        <f>AM79</f>
        <v>2</v>
      </c>
      <c r="CA40" s="12">
        <f>AM80</f>
        <v>2</v>
      </c>
      <c r="CB40" s="12">
        <f>AM81</f>
        <v>2</v>
      </c>
      <c r="CC40" s="12">
        <f>AM82</f>
        <v>3</v>
      </c>
      <c r="CD40" s="12">
        <f>AM83</f>
        <v>3</v>
      </c>
      <c r="CE40" s="12">
        <f>AM84</f>
        <v>4</v>
      </c>
      <c r="CF40" s="12">
        <f>AM85</f>
        <v>2</v>
      </c>
      <c r="CG40" s="12">
        <f>AM86</f>
        <v>4</v>
      </c>
      <c r="CH40" s="15">
        <f>AM87</f>
        <v>2</v>
      </c>
    </row>
    <row r="41" spans="1:86" ht="12.75" customHeight="1" x14ac:dyDescent="0.25">
      <c r="A41" s="11" t="s">
        <v>289</v>
      </c>
      <c r="B41" s="12">
        <v>2</v>
      </c>
      <c r="C41" s="12">
        <v>2</v>
      </c>
      <c r="D41" s="12">
        <v>2</v>
      </c>
      <c r="E41" s="12">
        <v>3</v>
      </c>
      <c r="F41" s="12">
        <v>3</v>
      </c>
      <c r="G41" s="12">
        <v>3</v>
      </c>
      <c r="H41" s="71">
        <v>4</v>
      </c>
      <c r="I41" s="71">
        <v>2</v>
      </c>
      <c r="J41" s="12">
        <v>2</v>
      </c>
      <c r="K41" s="12">
        <v>2</v>
      </c>
      <c r="L41" s="12">
        <v>2</v>
      </c>
      <c r="M41" s="12">
        <v>2</v>
      </c>
      <c r="N41" s="12">
        <v>1</v>
      </c>
      <c r="O41" s="12">
        <v>4</v>
      </c>
      <c r="P41" s="12">
        <v>2</v>
      </c>
      <c r="Q41" s="12">
        <v>3</v>
      </c>
      <c r="R41" s="12">
        <v>3</v>
      </c>
      <c r="S41" s="12">
        <v>2</v>
      </c>
      <c r="T41" s="12">
        <v>2</v>
      </c>
      <c r="U41" s="12">
        <v>4</v>
      </c>
      <c r="V41" s="12">
        <v>2</v>
      </c>
      <c r="W41" s="12">
        <v>2</v>
      </c>
      <c r="X41" s="12">
        <v>2</v>
      </c>
      <c r="Y41" s="12">
        <v>2</v>
      </c>
      <c r="Z41" s="12">
        <v>2</v>
      </c>
      <c r="AA41" s="12">
        <v>4</v>
      </c>
      <c r="AB41" s="12">
        <v>2</v>
      </c>
      <c r="AC41" s="12">
        <v>4</v>
      </c>
      <c r="AD41" s="12">
        <v>2</v>
      </c>
      <c r="AE41" s="12">
        <v>2</v>
      </c>
      <c r="AF41" s="12">
        <v>3</v>
      </c>
      <c r="AG41" s="12">
        <v>4</v>
      </c>
      <c r="AH41" s="12">
        <v>3</v>
      </c>
      <c r="AI41" s="12">
        <v>3</v>
      </c>
      <c r="AJ41" s="12">
        <v>4</v>
      </c>
      <c r="AK41" s="12">
        <v>4</v>
      </c>
      <c r="AL41" s="12">
        <v>2</v>
      </c>
      <c r="AM41" s="12">
        <v>2</v>
      </c>
      <c r="AN41" s="12" t="s">
        <v>63</v>
      </c>
      <c r="AO41" s="12">
        <f>AN42</f>
        <v>2</v>
      </c>
      <c r="AP41" s="12">
        <f>AN43</f>
        <v>2</v>
      </c>
      <c r="AQ41" s="12">
        <f>AN44</f>
        <v>2</v>
      </c>
      <c r="AR41" s="12">
        <f>AN45</f>
        <v>2</v>
      </c>
      <c r="AS41" s="12">
        <f>AN46</f>
        <v>3</v>
      </c>
      <c r="AT41" s="12">
        <f>AN47</f>
        <v>2</v>
      </c>
      <c r="AU41" s="12">
        <f>AN48</f>
        <v>2</v>
      </c>
      <c r="AV41" s="12">
        <f>AN49</f>
        <v>2</v>
      </c>
      <c r="AW41" s="12">
        <f>AN50</f>
        <v>2</v>
      </c>
      <c r="AX41" s="12">
        <f>AN51</f>
        <v>2</v>
      </c>
      <c r="AY41" s="12">
        <f>AN52</f>
        <v>4</v>
      </c>
      <c r="AZ41" s="12">
        <f>AN53</f>
        <v>3</v>
      </c>
      <c r="BA41" s="12">
        <f>AN54</f>
        <v>2</v>
      </c>
      <c r="BB41" s="12">
        <f>AO54</f>
        <v>3</v>
      </c>
      <c r="BC41" s="12">
        <f>AN56</f>
        <v>4</v>
      </c>
      <c r="BD41" s="12">
        <f>AN57</f>
        <v>4</v>
      </c>
      <c r="BE41" s="12">
        <f>AN58</f>
        <v>2</v>
      </c>
      <c r="BF41" s="12">
        <f>AO58</f>
        <v>2</v>
      </c>
      <c r="BG41" s="12">
        <f>AN60</f>
        <v>2</v>
      </c>
      <c r="BH41" s="12">
        <f>AN61</f>
        <v>2</v>
      </c>
      <c r="BI41" s="12">
        <f>AN62</f>
        <v>2</v>
      </c>
      <c r="BJ41" s="12">
        <f>AN63</f>
        <v>2</v>
      </c>
      <c r="BK41" s="12">
        <f>AN64</f>
        <v>2</v>
      </c>
      <c r="BL41" s="12">
        <f>AN65</f>
        <v>4</v>
      </c>
      <c r="BM41" s="12">
        <f>AN66</f>
        <v>3</v>
      </c>
      <c r="BN41" s="12">
        <f>AN67</f>
        <v>4</v>
      </c>
      <c r="BO41" s="12">
        <f>AN68</f>
        <v>3</v>
      </c>
      <c r="BP41" s="12">
        <f>AN69</f>
        <v>3</v>
      </c>
      <c r="BQ41" s="12">
        <f>AN70</f>
        <v>2</v>
      </c>
      <c r="BR41" s="12">
        <f>AN71</f>
        <v>3</v>
      </c>
      <c r="BS41" s="12">
        <f>AN72</f>
        <v>2</v>
      </c>
      <c r="BT41" s="12">
        <f>AN73</f>
        <v>2</v>
      </c>
      <c r="BU41" s="12">
        <f>AN74</f>
        <v>2</v>
      </c>
      <c r="BV41" s="12">
        <f>AN75</f>
        <v>3</v>
      </c>
      <c r="BW41" s="12">
        <f>AN76</f>
        <v>2</v>
      </c>
      <c r="BX41" s="12">
        <f>AN77</f>
        <v>2</v>
      </c>
      <c r="BY41" s="12">
        <f>AN78</f>
        <v>2</v>
      </c>
      <c r="BZ41" s="12">
        <f>AN79</f>
        <v>2</v>
      </c>
      <c r="CA41" s="12">
        <f>AN80</f>
        <v>2</v>
      </c>
      <c r="CB41" s="12">
        <f>AN81</f>
        <v>2</v>
      </c>
      <c r="CC41" s="12">
        <f>AN82</f>
        <v>3</v>
      </c>
      <c r="CD41" s="12">
        <f>AN83</f>
        <v>3</v>
      </c>
      <c r="CE41" s="12">
        <f>AN84</f>
        <v>4</v>
      </c>
      <c r="CF41" s="12">
        <f>AN85</f>
        <v>2</v>
      </c>
      <c r="CG41" s="12">
        <f>AN86</f>
        <v>4</v>
      </c>
      <c r="CH41" s="66">
        <f>AN87</f>
        <v>2</v>
      </c>
    </row>
    <row r="42" spans="1:86" ht="12.75" customHeight="1" x14ac:dyDescent="0.25">
      <c r="A42" s="11" t="s">
        <v>47</v>
      </c>
      <c r="B42" s="12">
        <v>2</v>
      </c>
      <c r="C42" s="12">
        <v>2</v>
      </c>
      <c r="D42" s="12">
        <v>2</v>
      </c>
      <c r="E42" s="12">
        <v>4</v>
      </c>
      <c r="F42" s="12">
        <v>4</v>
      </c>
      <c r="G42" s="12">
        <v>4</v>
      </c>
      <c r="H42" s="71">
        <v>4</v>
      </c>
      <c r="I42" s="71">
        <v>3</v>
      </c>
      <c r="J42" s="12">
        <v>3</v>
      </c>
      <c r="K42" s="12">
        <v>2</v>
      </c>
      <c r="L42" s="12">
        <v>2</v>
      </c>
      <c r="M42" s="12">
        <v>2</v>
      </c>
      <c r="N42" s="12">
        <v>1</v>
      </c>
      <c r="O42" s="12">
        <v>4</v>
      </c>
      <c r="P42" s="12">
        <v>2</v>
      </c>
      <c r="Q42" s="12">
        <v>4</v>
      </c>
      <c r="R42" s="12">
        <v>4</v>
      </c>
      <c r="S42" s="12">
        <v>3</v>
      </c>
      <c r="T42" s="12">
        <v>2</v>
      </c>
      <c r="U42" s="12">
        <v>4</v>
      </c>
      <c r="V42" s="12">
        <v>2</v>
      </c>
      <c r="W42" s="12">
        <v>2</v>
      </c>
      <c r="X42" s="12">
        <v>4</v>
      </c>
      <c r="Y42" s="12">
        <v>2</v>
      </c>
      <c r="Z42" s="12">
        <v>2</v>
      </c>
      <c r="AA42" s="12">
        <v>4</v>
      </c>
      <c r="AB42" s="12">
        <v>2</v>
      </c>
      <c r="AC42" s="12">
        <v>4</v>
      </c>
      <c r="AD42" s="12">
        <v>2</v>
      </c>
      <c r="AE42" s="12">
        <v>2</v>
      </c>
      <c r="AF42" s="12">
        <v>4</v>
      </c>
      <c r="AG42" s="12">
        <v>4</v>
      </c>
      <c r="AH42" s="12">
        <v>4</v>
      </c>
      <c r="AI42" s="12">
        <v>4</v>
      </c>
      <c r="AJ42" s="12">
        <v>4</v>
      </c>
      <c r="AK42" s="12">
        <v>3</v>
      </c>
      <c r="AL42" s="12">
        <v>3</v>
      </c>
      <c r="AM42" s="12">
        <v>2</v>
      </c>
      <c r="AN42" s="12">
        <v>2</v>
      </c>
      <c r="AO42" s="12" t="s">
        <v>63</v>
      </c>
      <c r="AP42" s="12">
        <f>AO43</f>
        <v>3</v>
      </c>
      <c r="AQ42" s="12">
        <f>AO44</f>
        <v>2</v>
      </c>
      <c r="AR42" s="12">
        <f>AO45</f>
        <v>2</v>
      </c>
      <c r="AS42" s="12">
        <f>AO46</f>
        <v>4</v>
      </c>
      <c r="AT42" s="12">
        <f>AO47</f>
        <v>2</v>
      </c>
      <c r="AU42" s="12">
        <f>AO48</f>
        <v>3</v>
      </c>
      <c r="AV42" s="12">
        <f>AO49</f>
        <v>3</v>
      </c>
      <c r="AW42" s="12">
        <f>AO50</f>
        <v>4</v>
      </c>
      <c r="AX42" s="12">
        <f>AO51</f>
        <v>3</v>
      </c>
      <c r="AY42" s="12">
        <f>AO52</f>
        <v>4</v>
      </c>
      <c r="AZ42" s="12">
        <f>AO53</f>
        <v>4</v>
      </c>
      <c r="BA42" s="12">
        <f>AO54</f>
        <v>3</v>
      </c>
      <c r="BB42" s="12">
        <f>AO55</f>
        <v>4</v>
      </c>
      <c r="BC42" s="12">
        <f>AP55</f>
        <v>3</v>
      </c>
      <c r="BD42" s="12">
        <f>AO57</f>
        <v>4</v>
      </c>
      <c r="BE42" s="12">
        <f>AO58</f>
        <v>2</v>
      </c>
      <c r="BF42" s="12">
        <f>AP58</f>
        <v>1</v>
      </c>
      <c r="BG42" s="12">
        <f>AO60</f>
        <v>2</v>
      </c>
      <c r="BH42" s="12">
        <f>AO61</f>
        <v>3</v>
      </c>
      <c r="BI42" s="12">
        <f>AO62</f>
        <v>3</v>
      </c>
      <c r="BJ42" s="12">
        <f>AO63</f>
        <v>2</v>
      </c>
      <c r="BK42" s="12">
        <f>AO64</f>
        <v>2</v>
      </c>
      <c r="BL42" s="12">
        <f>AO65</f>
        <v>4</v>
      </c>
      <c r="BM42" s="12">
        <f>AO66</f>
        <v>4</v>
      </c>
      <c r="BN42" s="12">
        <f>AO67</f>
        <v>4</v>
      </c>
      <c r="BO42" s="12">
        <f>AO68</f>
        <v>4</v>
      </c>
      <c r="BP42" s="12">
        <f>AO69</f>
        <v>4</v>
      </c>
      <c r="BQ42" s="12">
        <f>AO70</f>
        <v>3</v>
      </c>
      <c r="BR42" s="12">
        <f>AO71</f>
        <v>4</v>
      </c>
      <c r="BS42" s="12">
        <f>AO72</f>
        <v>3</v>
      </c>
      <c r="BT42" s="12">
        <f>AO73</f>
        <v>3</v>
      </c>
      <c r="BU42" s="12">
        <f>AO74</f>
        <v>3</v>
      </c>
      <c r="BV42" s="12">
        <f>AO75</f>
        <v>4</v>
      </c>
      <c r="BW42" s="12">
        <f>AO76</f>
        <v>2</v>
      </c>
      <c r="BX42" s="12">
        <f>AO77</f>
        <v>2</v>
      </c>
      <c r="BY42" s="12">
        <f>AO78</f>
        <v>2</v>
      </c>
      <c r="BZ42" s="12">
        <f>AO79</f>
        <v>3</v>
      </c>
      <c r="CA42" s="12">
        <f>AO80</f>
        <v>3</v>
      </c>
      <c r="CB42" s="12">
        <f>AO81</f>
        <v>2</v>
      </c>
      <c r="CC42" s="12">
        <f>AO82</f>
        <v>4</v>
      </c>
      <c r="CD42" s="12">
        <f>AO83</f>
        <v>4</v>
      </c>
      <c r="CE42" s="12">
        <f>AO84</f>
        <v>4</v>
      </c>
      <c r="CF42" s="12">
        <f>AO85</f>
        <v>3</v>
      </c>
      <c r="CG42" s="12">
        <f>AO86</f>
        <v>4</v>
      </c>
      <c r="CH42" s="15">
        <f>AO87</f>
        <v>4</v>
      </c>
    </row>
    <row r="43" spans="1:86" ht="12.75" customHeight="1" x14ac:dyDescent="0.25">
      <c r="A43" s="11" t="s">
        <v>18</v>
      </c>
      <c r="B43" s="12">
        <v>2</v>
      </c>
      <c r="C43" s="12">
        <v>2</v>
      </c>
      <c r="D43" s="12">
        <v>2</v>
      </c>
      <c r="E43" s="12">
        <v>2</v>
      </c>
      <c r="F43" s="12">
        <v>3</v>
      </c>
      <c r="G43" s="12">
        <v>3</v>
      </c>
      <c r="H43" s="71">
        <v>3</v>
      </c>
      <c r="I43" s="71">
        <v>2</v>
      </c>
      <c r="J43" s="12">
        <v>2</v>
      </c>
      <c r="K43" s="12">
        <v>2</v>
      </c>
      <c r="L43" s="12">
        <v>2</v>
      </c>
      <c r="M43" s="12">
        <v>2</v>
      </c>
      <c r="N43" s="12">
        <v>1</v>
      </c>
      <c r="O43" s="12">
        <v>3</v>
      </c>
      <c r="P43" s="12">
        <v>2</v>
      </c>
      <c r="Q43" s="12">
        <v>3</v>
      </c>
      <c r="R43" s="12">
        <v>2</v>
      </c>
      <c r="S43" s="12">
        <v>2</v>
      </c>
      <c r="T43" s="12">
        <v>2</v>
      </c>
      <c r="U43" s="12">
        <v>3</v>
      </c>
      <c r="V43" s="12">
        <v>2</v>
      </c>
      <c r="W43" s="12">
        <v>2</v>
      </c>
      <c r="X43" s="12">
        <v>1</v>
      </c>
      <c r="Y43" s="12">
        <v>2</v>
      </c>
      <c r="Z43" s="12">
        <v>2</v>
      </c>
      <c r="AA43" s="12">
        <v>3</v>
      </c>
      <c r="AB43" s="12">
        <v>2</v>
      </c>
      <c r="AC43" s="12">
        <v>3</v>
      </c>
      <c r="AD43" s="12">
        <v>2</v>
      </c>
      <c r="AE43" s="12">
        <v>2</v>
      </c>
      <c r="AF43" s="12">
        <v>2</v>
      </c>
      <c r="AG43" s="12">
        <v>1</v>
      </c>
      <c r="AH43" s="12">
        <v>3</v>
      </c>
      <c r="AI43" s="12">
        <v>1</v>
      </c>
      <c r="AJ43" s="12">
        <v>3</v>
      </c>
      <c r="AK43" s="12">
        <v>2</v>
      </c>
      <c r="AL43" s="12">
        <v>3</v>
      </c>
      <c r="AM43" s="12">
        <v>2</v>
      </c>
      <c r="AN43" s="12">
        <v>2</v>
      </c>
      <c r="AO43" s="12">
        <v>3</v>
      </c>
      <c r="AP43" s="12" t="s">
        <v>63</v>
      </c>
      <c r="AQ43" s="12">
        <f>AP44</f>
        <v>2</v>
      </c>
      <c r="AR43" s="12">
        <f>AP45</f>
        <v>2</v>
      </c>
      <c r="AS43" s="12">
        <f>AP46</f>
        <v>3</v>
      </c>
      <c r="AT43" s="12">
        <f>AP47</f>
        <v>2</v>
      </c>
      <c r="AU43" s="12">
        <f>AP48</f>
        <v>2</v>
      </c>
      <c r="AV43" s="12">
        <f>AP49</f>
        <v>2</v>
      </c>
      <c r="AW43" s="12">
        <f>AP50</f>
        <v>3</v>
      </c>
      <c r="AX43" s="12">
        <f>AP51</f>
        <v>1</v>
      </c>
      <c r="AY43" s="12">
        <f>AP52</f>
        <v>3</v>
      </c>
      <c r="AZ43" s="12">
        <f>AP53</f>
        <v>3</v>
      </c>
      <c r="BA43" s="12">
        <f>AP54</f>
        <v>2</v>
      </c>
      <c r="BB43" s="12">
        <f>AP55</f>
        <v>3</v>
      </c>
      <c r="BC43" s="12">
        <f>AP56</f>
        <v>3</v>
      </c>
      <c r="BD43" s="12">
        <f>AQ56</f>
        <v>4</v>
      </c>
      <c r="BE43" s="12">
        <f>AP58</f>
        <v>1</v>
      </c>
      <c r="BF43" s="12">
        <f>AQ58</f>
        <v>2</v>
      </c>
      <c r="BG43" s="12">
        <f>AP60</f>
        <v>2</v>
      </c>
      <c r="BH43" s="12">
        <f>AP61</f>
        <v>1</v>
      </c>
      <c r="BI43" s="12">
        <f>AP62</f>
        <v>2</v>
      </c>
      <c r="BJ43" s="12">
        <f>AP63</f>
        <v>2</v>
      </c>
      <c r="BK43" s="12">
        <f>AP64</f>
        <v>2</v>
      </c>
      <c r="BL43" s="12">
        <f>AP65</f>
        <v>3</v>
      </c>
      <c r="BM43" s="12">
        <f>AP66</f>
        <v>2</v>
      </c>
      <c r="BN43" s="12">
        <f>AP67</f>
        <v>3</v>
      </c>
      <c r="BO43" s="12">
        <f>AP68</f>
        <v>1</v>
      </c>
      <c r="BP43" s="12">
        <f>AP69</f>
        <v>2</v>
      </c>
      <c r="BQ43" s="12">
        <f>AP70</f>
        <v>1</v>
      </c>
      <c r="BR43" s="12">
        <f>AP71</f>
        <v>2</v>
      </c>
      <c r="BS43" s="12">
        <f>AP72</f>
        <v>3</v>
      </c>
      <c r="BT43" s="12">
        <f>AP73</f>
        <v>2</v>
      </c>
      <c r="BU43" s="12">
        <f>AP74</f>
        <v>2</v>
      </c>
      <c r="BV43" s="12">
        <f>AP75</f>
        <v>1</v>
      </c>
      <c r="BW43" s="12">
        <f>AP76</f>
        <v>2</v>
      </c>
      <c r="BX43" s="12">
        <f>AP77</f>
        <v>2</v>
      </c>
      <c r="BY43" s="12">
        <f>AP78</f>
        <v>2</v>
      </c>
      <c r="BZ43" s="12">
        <f>AP79</f>
        <v>2</v>
      </c>
      <c r="CA43" s="12">
        <f>AP80</f>
        <v>1</v>
      </c>
      <c r="CB43" s="12">
        <f>AP81</f>
        <v>2</v>
      </c>
      <c r="CC43" s="12">
        <f>AP82</f>
        <v>3</v>
      </c>
      <c r="CD43" s="12">
        <f>AP83</f>
        <v>1</v>
      </c>
      <c r="CE43" s="12">
        <f>AP84</f>
        <v>3</v>
      </c>
      <c r="CF43" s="12">
        <f>AP85</f>
        <v>2</v>
      </c>
      <c r="CG43" s="12">
        <f>AP86</f>
        <v>3</v>
      </c>
      <c r="CH43" s="66">
        <f>AP87</f>
        <v>2</v>
      </c>
    </row>
    <row r="44" spans="1:86" ht="12.75" customHeight="1" x14ac:dyDescent="0.25">
      <c r="A44" s="11" t="s">
        <v>48</v>
      </c>
      <c r="B44" s="12">
        <v>2</v>
      </c>
      <c r="C44" s="12">
        <v>2</v>
      </c>
      <c r="D44" s="12">
        <v>2</v>
      </c>
      <c r="E44" s="12">
        <v>3</v>
      </c>
      <c r="F44" s="12">
        <v>3</v>
      </c>
      <c r="G44" s="12">
        <v>3</v>
      </c>
      <c r="H44" s="71">
        <v>4</v>
      </c>
      <c r="I44" s="71">
        <v>2</v>
      </c>
      <c r="J44" s="12">
        <v>2</v>
      </c>
      <c r="K44" s="12">
        <v>2</v>
      </c>
      <c r="L44" s="12">
        <v>2</v>
      </c>
      <c r="M44" s="12">
        <v>2</v>
      </c>
      <c r="N44" s="12">
        <v>1</v>
      </c>
      <c r="O44" s="12">
        <v>4</v>
      </c>
      <c r="P44" s="12">
        <v>2</v>
      </c>
      <c r="Q44" s="12">
        <v>3</v>
      </c>
      <c r="R44" s="12">
        <v>3</v>
      </c>
      <c r="S44" s="12">
        <v>2</v>
      </c>
      <c r="T44" s="12">
        <v>2</v>
      </c>
      <c r="U44" s="12">
        <v>4</v>
      </c>
      <c r="V44" s="12">
        <v>2</v>
      </c>
      <c r="W44" s="12">
        <v>2</v>
      </c>
      <c r="X44" s="12">
        <v>2</v>
      </c>
      <c r="Y44" s="12">
        <v>2</v>
      </c>
      <c r="Z44" s="12">
        <v>2</v>
      </c>
      <c r="AA44" s="12">
        <v>4</v>
      </c>
      <c r="AB44" s="12">
        <v>2</v>
      </c>
      <c r="AC44" s="12">
        <v>4</v>
      </c>
      <c r="AD44" s="12">
        <v>2</v>
      </c>
      <c r="AE44" s="12">
        <v>2</v>
      </c>
      <c r="AF44" s="12">
        <v>3</v>
      </c>
      <c r="AG44" s="12">
        <v>4</v>
      </c>
      <c r="AH44" s="12">
        <v>3</v>
      </c>
      <c r="AI44" s="12">
        <v>3</v>
      </c>
      <c r="AJ44" s="12">
        <v>4</v>
      </c>
      <c r="AK44" s="12">
        <v>4</v>
      </c>
      <c r="AL44" s="12">
        <v>2</v>
      </c>
      <c r="AM44" s="12">
        <v>2</v>
      </c>
      <c r="AN44" s="12">
        <v>2</v>
      </c>
      <c r="AO44" s="12">
        <v>2</v>
      </c>
      <c r="AP44" s="12">
        <v>2</v>
      </c>
      <c r="AQ44" s="12" t="s">
        <v>63</v>
      </c>
      <c r="AR44" s="12">
        <f>AQ45</f>
        <v>2</v>
      </c>
      <c r="AS44" s="12">
        <f>AQ46</f>
        <v>3</v>
      </c>
      <c r="AT44" s="12">
        <f>AQ47</f>
        <v>2</v>
      </c>
      <c r="AU44" s="12">
        <f>AQ48</f>
        <v>2</v>
      </c>
      <c r="AV44" s="12">
        <f>AQ49</f>
        <v>2</v>
      </c>
      <c r="AW44" s="12">
        <f>AQ50</f>
        <v>2</v>
      </c>
      <c r="AX44" s="12">
        <f>AQ51</f>
        <v>2</v>
      </c>
      <c r="AY44" s="12">
        <f>AQ52</f>
        <v>4</v>
      </c>
      <c r="AZ44" s="12">
        <f>AQ53</f>
        <v>3</v>
      </c>
      <c r="BA44" s="12">
        <f>AQ54</f>
        <v>2</v>
      </c>
      <c r="BB44" s="12">
        <f>AQ55</f>
        <v>3</v>
      </c>
      <c r="BC44" s="12">
        <f>AQ56</f>
        <v>4</v>
      </c>
      <c r="BD44" s="12">
        <f>AQ57</f>
        <v>4</v>
      </c>
      <c r="BE44" s="12">
        <f>AR57</f>
        <v>4</v>
      </c>
      <c r="BF44" s="12">
        <f>AS57</f>
        <v>4</v>
      </c>
      <c r="BG44" s="12">
        <f>AQ60</f>
        <v>2</v>
      </c>
      <c r="BH44" s="12">
        <f>AQ61</f>
        <v>2</v>
      </c>
      <c r="BI44" s="12">
        <f>AQ62</f>
        <v>2</v>
      </c>
      <c r="BJ44" s="12">
        <f>AQ63</f>
        <v>2</v>
      </c>
      <c r="BK44" s="12">
        <f>AQ64</f>
        <v>2</v>
      </c>
      <c r="BL44" s="12">
        <f>AQ65</f>
        <v>4</v>
      </c>
      <c r="BM44" s="12">
        <f>AQ66</f>
        <v>3</v>
      </c>
      <c r="BN44" s="12">
        <f>AQ67</f>
        <v>4</v>
      </c>
      <c r="BO44" s="12">
        <f>AQ68</f>
        <v>3</v>
      </c>
      <c r="BP44" s="12">
        <f>AQ69</f>
        <v>3</v>
      </c>
      <c r="BQ44" s="12">
        <f>AQ70</f>
        <v>2</v>
      </c>
      <c r="BR44" s="12">
        <f>AQ71</f>
        <v>3</v>
      </c>
      <c r="BS44" s="12">
        <f>AQ72</f>
        <v>2</v>
      </c>
      <c r="BT44" s="12">
        <f>AQ73</f>
        <v>2</v>
      </c>
      <c r="BU44" s="12">
        <f>AQ74</f>
        <v>2</v>
      </c>
      <c r="BV44" s="12">
        <f>AQ75</f>
        <v>3</v>
      </c>
      <c r="BW44" s="12">
        <f>AQ76</f>
        <v>2</v>
      </c>
      <c r="BX44" s="12">
        <f>AQ77</f>
        <v>2</v>
      </c>
      <c r="BY44" s="12">
        <f>AQ78</f>
        <v>2</v>
      </c>
      <c r="BZ44" s="12">
        <f>AQ79</f>
        <v>2</v>
      </c>
      <c r="CA44" s="12">
        <f>AQ80</f>
        <v>2</v>
      </c>
      <c r="CB44" s="12">
        <f>AQ81</f>
        <v>2</v>
      </c>
      <c r="CC44" s="12">
        <f>AQ82</f>
        <v>3</v>
      </c>
      <c r="CD44" s="12">
        <f>AQ83</f>
        <v>3</v>
      </c>
      <c r="CE44" s="12">
        <f>AQ84</f>
        <v>4</v>
      </c>
      <c r="CF44" s="12">
        <f>AQ85</f>
        <v>2</v>
      </c>
      <c r="CG44" s="12">
        <f>AQ86</f>
        <v>4</v>
      </c>
      <c r="CH44" s="66">
        <f>AQ87</f>
        <v>2</v>
      </c>
    </row>
    <row r="45" spans="1:86" ht="12.75" customHeight="1" x14ac:dyDescent="0.25">
      <c r="A45" s="11" t="s">
        <v>290</v>
      </c>
      <c r="B45" s="12">
        <v>2</v>
      </c>
      <c r="C45" s="12">
        <v>2</v>
      </c>
      <c r="D45" s="12">
        <v>2</v>
      </c>
      <c r="E45" s="12">
        <v>3</v>
      </c>
      <c r="F45" s="12">
        <v>3</v>
      </c>
      <c r="G45" s="12">
        <v>3</v>
      </c>
      <c r="H45" s="71">
        <v>4</v>
      </c>
      <c r="I45" s="71">
        <v>2</v>
      </c>
      <c r="J45" s="12">
        <v>2</v>
      </c>
      <c r="K45" s="12">
        <v>2</v>
      </c>
      <c r="L45" s="12">
        <v>2</v>
      </c>
      <c r="M45" s="12">
        <v>2</v>
      </c>
      <c r="N45" s="12">
        <v>1</v>
      </c>
      <c r="O45" s="12">
        <v>4</v>
      </c>
      <c r="P45" s="12">
        <v>2</v>
      </c>
      <c r="Q45" s="12">
        <v>3</v>
      </c>
      <c r="R45" s="12">
        <v>3</v>
      </c>
      <c r="S45" s="12">
        <v>2</v>
      </c>
      <c r="T45" s="12">
        <v>2</v>
      </c>
      <c r="U45" s="12">
        <v>4</v>
      </c>
      <c r="V45" s="12">
        <v>2</v>
      </c>
      <c r="W45" s="12">
        <v>2</v>
      </c>
      <c r="X45" s="12">
        <v>2</v>
      </c>
      <c r="Y45" s="12">
        <v>2</v>
      </c>
      <c r="Z45" s="12">
        <v>2</v>
      </c>
      <c r="AA45" s="12">
        <v>4</v>
      </c>
      <c r="AB45" s="12">
        <v>2</v>
      </c>
      <c r="AC45" s="12">
        <v>4</v>
      </c>
      <c r="AD45" s="12">
        <v>2</v>
      </c>
      <c r="AE45" s="12">
        <v>2</v>
      </c>
      <c r="AF45" s="12">
        <v>3</v>
      </c>
      <c r="AG45" s="12">
        <v>4</v>
      </c>
      <c r="AH45" s="12">
        <v>3</v>
      </c>
      <c r="AI45" s="12">
        <v>3</v>
      </c>
      <c r="AJ45" s="12">
        <v>4</v>
      </c>
      <c r="AK45" s="12">
        <v>4</v>
      </c>
      <c r="AL45" s="12">
        <v>2</v>
      </c>
      <c r="AM45" s="12">
        <v>2</v>
      </c>
      <c r="AN45" s="12">
        <v>2</v>
      </c>
      <c r="AO45" s="12">
        <v>2</v>
      </c>
      <c r="AP45" s="12">
        <v>2</v>
      </c>
      <c r="AQ45" s="12">
        <v>2</v>
      </c>
      <c r="AR45" s="12" t="s">
        <v>63</v>
      </c>
      <c r="AS45" s="12">
        <f>AR46</f>
        <v>3</v>
      </c>
      <c r="AT45" s="12">
        <f>AR47</f>
        <v>2</v>
      </c>
      <c r="AU45" s="12">
        <f>AR48</f>
        <v>2</v>
      </c>
      <c r="AV45" s="12">
        <f>AR49</f>
        <v>2</v>
      </c>
      <c r="AW45" s="12">
        <f>AR50</f>
        <v>2</v>
      </c>
      <c r="AX45" s="12">
        <f>AR51</f>
        <v>2</v>
      </c>
      <c r="AY45" s="12">
        <f>AR52</f>
        <v>4</v>
      </c>
      <c r="AZ45" s="12">
        <f>AR53</f>
        <v>3</v>
      </c>
      <c r="BA45" s="12">
        <f>AR54</f>
        <v>2</v>
      </c>
      <c r="BB45" s="12">
        <f>AR55</f>
        <v>3</v>
      </c>
      <c r="BC45" s="12">
        <f>AR56</f>
        <v>4</v>
      </c>
      <c r="BD45" s="12">
        <f>AR57</f>
        <v>4</v>
      </c>
      <c r="BE45" s="12">
        <f>AR58</f>
        <v>2</v>
      </c>
      <c r="BF45" s="12">
        <f>AS58</f>
        <v>2</v>
      </c>
      <c r="BG45" s="12">
        <f>AS58</f>
        <v>2</v>
      </c>
      <c r="BH45" s="12">
        <f>AR61</f>
        <v>2</v>
      </c>
      <c r="BI45" s="12">
        <f>AR62</f>
        <v>2</v>
      </c>
      <c r="BJ45" s="12">
        <f>AR63</f>
        <v>2</v>
      </c>
      <c r="BK45" s="12">
        <f>AR64</f>
        <v>2</v>
      </c>
      <c r="BL45" s="12">
        <f>AR65</f>
        <v>4</v>
      </c>
      <c r="BM45" s="12">
        <f>AR66</f>
        <v>3</v>
      </c>
      <c r="BN45" s="12">
        <f>AR67</f>
        <v>4</v>
      </c>
      <c r="BO45" s="12">
        <f>AR68</f>
        <v>3</v>
      </c>
      <c r="BP45" s="12">
        <f>AR69</f>
        <v>3</v>
      </c>
      <c r="BQ45" s="12">
        <f>AR70</f>
        <v>2</v>
      </c>
      <c r="BR45" s="12">
        <f>AR71</f>
        <v>3</v>
      </c>
      <c r="BS45" s="12">
        <f>AR72</f>
        <v>2</v>
      </c>
      <c r="BT45" s="12">
        <f>AR73</f>
        <v>2</v>
      </c>
      <c r="BU45" s="12">
        <f>AR74</f>
        <v>2</v>
      </c>
      <c r="BV45" s="12">
        <f>AR75</f>
        <v>3</v>
      </c>
      <c r="BW45" s="12">
        <f>AR76</f>
        <v>2</v>
      </c>
      <c r="BX45" s="12">
        <f>AR77</f>
        <v>2</v>
      </c>
      <c r="BY45" s="12">
        <f>AR78</f>
        <v>2</v>
      </c>
      <c r="BZ45" s="12">
        <f>AR79</f>
        <v>2</v>
      </c>
      <c r="CA45" s="12">
        <f>AR80</f>
        <v>2</v>
      </c>
      <c r="CB45" s="12">
        <f>AR81</f>
        <v>2</v>
      </c>
      <c r="CC45" s="12">
        <f>AR82</f>
        <v>3</v>
      </c>
      <c r="CD45" s="12">
        <f>AR83</f>
        <v>3</v>
      </c>
      <c r="CE45" s="12">
        <f>AR84</f>
        <v>4</v>
      </c>
      <c r="CF45" s="12">
        <f>AR85</f>
        <v>2</v>
      </c>
      <c r="CG45" s="12">
        <f>AR86</f>
        <v>4</v>
      </c>
      <c r="CH45" s="66">
        <f>AR87</f>
        <v>2</v>
      </c>
    </row>
    <row r="46" spans="1:86" ht="12.75" customHeight="1" x14ac:dyDescent="0.25">
      <c r="A46" s="11" t="s">
        <v>36</v>
      </c>
      <c r="B46" s="12">
        <v>3</v>
      </c>
      <c r="C46" s="12">
        <v>3</v>
      </c>
      <c r="D46" s="12">
        <v>3</v>
      </c>
      <c r="E46" s="12">
        <v>4</v>
      </c>
      <c r="F46" s="12">
        <v>4</v>
      </c>
      <c r="G46" s="12">
        <v>4</v>
      </c>
      <c r="H46" s="71">
        <v>4</v>
      </c>
      <c r="I46" s="71">
        <v>3</v>
      </c>
      <c r="J46" s="12">
        <v>3</v>
      </c>
      <c r="K46" s="12">
        <v>3</v>
      </c>
      <c r="L46" s="12">
        <v>3</v>
      </c>
      <c r="M46" s="12">
        <v>3</v>
      </c>
      <c r="N46" s="12">
        <v>2</v>
      </c>
      <c r="O46" s="12">
        <v>4</v>
      </c>
      <c r="P46" s="12">
        <v>3</v>
      </c>
      <c r="Q46" s="12">
        <v>4</v>
      </c>
      <c r="R46" s="12">
        <v>4</v>
      </c>
      <c r="S46" s="12">
        <v>3</v>
      </c>
      <c r="T46" s="12">
        <v>3</v>
      </c>
      <c r="U46" s="12">
        <v>4</v>
      </c>
      <c r="V46" s="12">
        <v>3</v>
      </c>
      <c r="W46" s="12">
        <v>3</v>
      </c>
      <c r="X46" s="12">
        <v>4</v>
      </c>
      <c r="Y46" s="12">
        <v>3</v>
      </c>
      <c r="Z46" s="12">
        <v>3</v>
      </c>
      <c r="AA46" s="12">
        <v>4</v>
      </c>
      <c r="AB46" s="12">
        <v>3</v>
      </c>
      <c r="AC46" s="12">
        <v>4</v>
      </c>
      <c r="AD46" s="12">
        <v>3</v>
      </c>
      <c r="AE46" s="12">
        <v>3</v>
      </c>
      <c r="AF46" s="12">
        <v>4</v>
      </c>
      <c r="AG46" s="12">
        <v>4</v>
      </c>
      <c r="AH46" s="12">
        <v>4</v>
      </c>
      <c r="AI46" s="12">
        <v>4</v>
      </c>
      <c r="AJ46" s="12">
        <v>4</v>
      </c>
      <c r="AK46" s="12">
        <v>3</v>
      </c>
      <c r="AL46" s="12">
        <v>4</v>
      </c>
      <c r="AM46" s="12">
        <v>3</v>
      </c>
      <c r="AN46" s="12">
        <v>3</v>
      </c>
      <c r="AO46" s="12">
        <v>4</v>
      </c>
      <c r="AP46" s="12">
        <v>3</v>
      </c>
      <c r="AQ46" s="12">
        <v>3</v>
      </c>
      <c r="AR46" s="12">
        <v>3</v>
      </c>
      <c r="AS46" s="12" t="s">
        <v>63</v>
      </c>
      <c r="AT46" s="12">
        <f>AS47</f>
        <v>3</v>
      </c>
      <c r="AU46" s="12">
        <f>AS48</f>
        <v>3</v>
      </c>
      <c r="AV46" s="12">
        <f>AS49</f>
        <v>3</v>
      </c>
      <c r="AW46" s="12">
        <f>AS50</f>
        <v>4</v>
      </c>
      <c r="AX46" s="12">
        <f>AS51</f>
        <v>3</v>
      </c>
      <c r="AY46" s="12">
        <f>AS52</f>
        <v>4</v>
      </c>
      <c r="AZ46" s="12">
        <f>AS53</f>
        <v>4</v>
      </c>
      <c r="BA46" s="12">
        <f>AS54</f>
        <v>3</v>
      </c>
      <c r="BB46" s="12">
        <f>AS55</f>
        <v>4</v>
      </c>
      <c r="BC46" s="12">
        <f>AS56</f>
        <v>4</v>
      </c>
      <c r="BD46" s="12">
        <f>AS57</f>
        <v>4</v>
      </c>
      <c r="BE46" s="12">
        <f>AS58</f>
        <v>2</v>
      </c>
      <c r="BF46" s="12">
        <f>AT58</f>
        <v>2</v>
      </c>
      <c r="BG46" s="12">
        <f>AS60</f>
        <v>3</v>
      </c>
      <c r="BH46" s="12">
        <f>AU60</f>
        <v>2</v>
      </c>
      <c r="BI46" s="12">
        <f>AS62</f>
        <v>3</v>
      </c>
      <c r="BJ46" s="12">
        <f>AS63</f>
        <v>3</v>
      </c>
      <c r="BK46" s="12">
        <f>AS64</f>
        <v>3</v>
      </c>
      <c r="BL46" s="12">
        <f>AS65</f>
        <v>4</v>
      </c>
      <c r="BM46" s="12">
        <f>AS66</f>
        <v>4</v>
      </c>
      <c r="BN46" s="12">
        <f>AS67</f>
        <v>4</v>
      </c>
      <c r="BO46" s="12">
        <f>AS68</f>
        <v>4</v>
      </c>
      <c r="BP46" s="12">
        <f>AS69</f>
        <v>4</v>
      </c>
      <c r="BQ46" s="12">
        <f>AS70</f>
        <v>3</v>
      </c>
      <c r="BR46" s="12">
        <f>AS71</f>
        <v>2</v>
      </c>
      <c r="BS46" s="12">
        <f>AS72</f>
        <v>4</v>
      </c>
      <c r="BT46" s="12">
        <f>AS73</f>
        <v>3</v>
      </c>
      <c r="BU46" s="12">
        <f>AS74</f>
        <v>3</v>
      </c>
      <c r="BV46" s="12">
        <f>AS75</f>
        <v>4</v>
      </c>
      <c r="BW46" s="12">
        <f>AS76</f>
        <v>3</v>
      </c>
      <c r="BX46" s="12">
        <f>AS77</f>
        <v>3</v>
      </c>
      <c r="BY46" s="12">
        <f>AS78</f>
        <v>1</v>
      </c>
      <c r="BZ46" s="12">
        <f>AS79</f>
        <v>3</v>
      </c>
      <c r="CA46" s="12">
        <f>AS80</f>
        <v>3</v>
      </c>
      <c r="CB46" s="12">
        <f>AS81</f>
        <v>3</v>
      </c>
      <c r="CC46" s="12">
        <f>AS82</f>
        <v>4</v>
      </c>
      <c r="CD46" s="12">
        <f>AS83</f>
        <v>4</v>
      </c>
      <c r="CE46" s="12">
        <f>AS84</f>
        <v>4</v>
      </c>
      <c r="CF46" s="12">
        <f>AS85</f>
        <v>3</v>
      </c>
      <c r="CG46" s="12">
        <f>AS86</f>
        <v>4</v>
      </c>
      <c r="CH46" s="15">
        <f>AS87</f>
        <v>4</v>
      </c>
    </row>
    <row r="47" spans="1:86" ht="12.75" customHeight="1" x14ac:dyDescent="0.25">
      <c r="A47" s="11" t="s">
        <v>295</v>
      </c>
      <c r="B47" s="12">
        <v>2</v>
      </c>
      <c r="C47" s="12">
        <v>2</v>
      </c>
      <c r="D47" s="12">
        <v>2</v>
      </c>
      <c r="E47" s="12">
        <v>3</v>
      </c>
      <c r="F47" s="12">
        <v>3</v>
      </c>
      <c r="G47" s="12">
        <v>3</v>
      </c>
      <c r="H47" s="71">
        <v>4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1</v>
      </c>
      <c r="O47" s="12">
        <v>4</v>
      </c>
      <c r="P47" s="12">
        <v>2</v>
      </c>
      <c r="Q47" s="12">
        <v>3</v>
      </c>
      <c r="R47" s="12">
        <v>3</v>
      </c>
      <c r="S47" s="12">
        <v>2</v>
      </c>
      <c r="T47" s="12">
        <v>2</v>
      </c>
      <c r="U47" s="12">
        <v>4</v>
      </c>
      <c r="V47" s="12">
        <v>2</v>
      </c>
      <c r="W47" s="12">
        <v>2</v>
      </c>
      <c r="X47" s="12">
        <v>2</v>
      </c>
      <c r="Y47" s="12">
        <v>2</v>
      </c>
      <c r="Z47" s="12">
        <v>2</v>
      </c>
      <c r="AA47" s="12">
        <v>4</v>
      </c>
      <c r="AB47" s="12">
        <v>2</v>
      </c>
      <c r="AC47" s="12">
        <v>4</v>
      </c>
      <c r="AD47" s="12">
        <v>2</v>
      </c>
      <c r="AE47" s="12">
        <v>2</v>
      </c>
      <c r="AF47" s="12">
        <v>3</v>
      </c>
      <c r="AG47" s="12">
        <v>4</v>
      </c>
      <c r="AH47" s="12">
        <v>3</v>
      </c>
      <c r="AI47" s="12">
        <v>3</v>
      </c>
      <c r="AJ47" s="12">
        <v>4</v>
      </c>
      <c r="AK47" s="12">
        <v>4</v>
      </c>
      <c r="AL47" s="12">
        <v>2</v>
      </c>
      <c r="AM47" s="12">
        <v>2</v>
      </c>
      <c r="AN47" s="12">
        <v>2</v>
      </c>
      <c r="AO47" s="12">
        <v>2</v>
      </c>
      <c r="AP47" s="12">
        <v>2</v>
      </c>
      <c r="AQ47" s="12">
        <v>2</v>
      </c>
      <c r="AR47" s="12">
        <v>2</v>
      </c>
      <c r="AS47" s="12">
        <v>3</v>
      </c>
      <c r="AT47" s="12" t="s">
        <v>63</v>
      </c>
      <c r="AU47" s="12">
        <f>AT48</f>
        <v>2</v>
      </c>
      <c r="AV47" s="12">
        <f>AT49</f>
        <v>2</v>
      </c>
      <c r="AW47" s="12">
        <f>AT50</f>
        <v>2</v>
      </c>
      <c r="AX47" s="12">
        <f>AT51</f>
        <v>2</v>
      </c>
      <c r="AY47" s="12">
        <f>AT52</f>
        <v>4</v>
      </c>
      <c r="AZ47" s="12">
        <f>AT53</f>
        <v>3</v>
      </c>
      <c r="BA47" s="12">
        <f>AT54</f>
        <v>2</v>
      </c>
      <c r="BB47" s="12">
        <f>AT55</f>
        <v>3</v>
      </c>
      <c r="BC47" s="12">
        <f>AT56</f>
        <v>4</v>
      </c>
      <c r="BD47" s="12">
        <f>AT57</f>
        <v>4</v>
      </c>
      <c r="BE47" s="12">
        <f>AT58</f>
        <v>2</v>
      </c>
      <c r="BF47" s="12">
        <f>AU58</f>
        <v>1</v>
      </c>
      <c r="BG47" s="12">
        <f>AT60</f>
        <v>2</v>
      </c>
      <c r="BH47" s="12">
        <f>AT61</f>
        <v>2</v>
      </c>
      <c r="BI47" s="12">
        <f>AT62</f>
        <v>2</v>
      </c>
      <c r="BJ47" s="12">
        <f>AT63</f>
        <v>2</v>
      </c>
      <c r="BK47" s="12">
        <f>AT64</f>
        <v>2</v>
      </c>
      <c r="BL47" s="12">
        <f>AT65</f>
        <v>4</v>
      </c>
      <c r="BM47" s="12">
        <f>AT66</f>
        <v>3</v>
      </c>
      <c r="BN47" s="12">
        <f>AT67</f>
        <v>4</v>
      </c>
      <c r="BO47" s="12">
        <f>AT68</f>
        <v>3</v>
      </c>
      <c r="BP47" s="12">
        <f>AT69</f>
        <v>3</v>
      </c>
      <c r="BQ47" s="12">
        <f>AT70</f>
        <v>2</v>
      </c>
      <c r="BR47" s="12">
        <f>AT71</f>
        <v>3</v>
      </c>
      <c r="BS47" s="12">
        <f>AT72</f>
        <v>2</v>
      </c>
      <c r="BT47" s="12">
        <f>AT73</f>
        <v>2</v>
      </c>
      <c r="BU47" s="12">
        <f>AT74</f>
        <v>2</v>
      </c>
      <c r="BV47" s="12">
        <f>AT75</f>
        <v>3</v>
      </c>
      <c r="BW47" s="12">
        <f>AT76</f>
        <v>2</v>
      </c>
      <c r="BX47" s="12">
        <f>AT77</f>
        <v>2</v>
      </c>
      <c r="BY47" s="12">
        <f>AT78</f>
        <v>2</v>
      </c>
      <c r="BZ47" s="12">
        <f>AT79</f>
        <v>2</v>
      </c>
      <c r="CA47" s="12">
        <f>AT80</f>
        <v>2</v>
      </c>
      <c r="CB47" s="12">
        <f>AT81</f>
        <v>2</v>
      </c>
      <c r="CC47" s="12">
        <f>AT82</f>
        <v>3</v>
      </c>
      <c r="CD47" s="12">
        <f>AT83</f>
        <v>3</v>
      </c>
      <c r="CE47" s="12">
        <f>AT84</f>
        <v>4</v>
      </c>
      <c r="CF47" s="12">
        <f>AT85</f>
        <v>2</v>
      </c>
      <c r="CG47" s="12">
        <f>AT86</f>
        <v>4</v>
      </c>
      <c r="CH47" s="66">
        <f>AT87</f>
        <v>2</v>
      </c>
    </row>
    <row r="48" spans="1:86" ht="12.75" customHeight="1" x14ac:dyDescent="0.25">
      <c r="A48" s="11" t="s">
        <v>19</v>
      </c>
      <c r="B48" s="12">
        <v>2</v>
      </c>
      <c r="C48" s="12">
        <v>2</v>
      </c>
      <c r="D48" s="12">
        <v>2</v>
      </c>
      <c r="E48" s="12">
        <v>2</v>
      </c>
      <c r="F48" s="12">
        <v>3</v>
      </c>
      <c r="G48" s="12">
        <v>3</v>
      </c>
      <c r="H48" s="71">
        <v>3</v>
      </c>
      <c r="I48" s="71">
        <v>2</v>
      </c>
      <c r="J48" s="12">
        <v>2</v>
      </c>
      <c r="K48" s="12">
        <v>2</v>
      </c>
      <c r="L48" s="12">
        <v>2</v>
      </c>
      <c r="M48" s="12">
        <v>2</v>
      </c>
      <c r="N48" s="12">
        <v>1</v>
      </c>
      <c r="O48" s="12">
        <v>3</v>
      </c>
      <c r="P48" s="12">
        <v>2</v>
      </c>
      <c r="Q48" s="12">
        <v>3</v>
      </c>
      <c r="R48" s="12">
        <v>2</v>
      </c>
      <c r="S48" s="12">
        <v>2</v>
      </c>
      <c r="T48" s="12">
        <v>2</v>
      </c>
      <c r="U48" s="12">
        <v>3</v>
      </c>
      <c r="V48" s="12">
        <v>2</v>
      </c>
      <c r="W48" s="12">
        <v>2</v>
      </c>
      <c r="X48" s="12">
        <v>3</v>
      </c>
      <c r="Y48" s="12">
        <v>2</v>
      </c>
      <c r="Z48" s="12">
        <v>2</v>
      </c>
      <c r="AA48" s="12">
        <v>1</v>
      </c>
      <c r="AB48" s="12">
        <v>2</v>
      </c>
      <c r="AC48" s="12">
        <v>3</v>
      </c>
      <c r="AD48" s="12">
        <v>2</v>
      </c>
      <c r="AE48" s="12">
        <v>2</v>
      </c>
      <c r="AF48" s="12">
        <v>2</v>
      </c>
      <c r="AG48" s="12">
        <v>3</v>
      </c>
      <c r="AH48" s="12">
        <v>3</v>
      </c>
      <c r="AI48" s="12">
        <v>3</v>
      </c>
      <c r="AJ48" s="12">
        <v>3</v>
      </c>
      <c r="AK48" s="12">
        <v>2</v>
      </c>
      <c r="AL48" s="12">
        <v>3</v>
      </c>
      <c r="AM48" s="12">
        <v>2</v>
      </c>
      <c r="AN48" s="12">
        <v>2</v>
      </c>
      <c r="AO48" s="12">
        <v>3</v>
      </c>
      <c r="AP48" s="12">
        <v>2</v>
      </c>
      <c r="AQ48" s="12">
        <v>2</v>
      </c>
      <c r="AR48" s="12">
        <v>2</v>
      </c>
      <c r="AS48" s="12">
        <v>3</v>
      </c>
      <c r="AT48" s="12">
        <v>2</v>
      </c>
      <c r="AU48" s="12" t="s">
        <v>63</v>
      </c>
      <c r="AV48" s="12">
        <f>AU49</f>
        <v>1</v>
      </c>
      <c r="AW48" s="12">
        <f>AU50</f>
        <v>3</v>
      </c>
      <c r="AX48" s="12">
        <f>AU51</f>
        <v>1</v>
      </c>
      <c r="AY48" s="12">
        <f>AU52</f>
        <v>3</v>
      </c>
      <c r="AZ48" s="12">
        <f>AU53</f>
        <v>3</v>
      </c>
      <c r="BA48" s="12">
        <f>AU54</f>
        <v>2</v>
      </c>
      <c r="BB48" s="12">
        <f>AU55</f>
        <v>3</v>
      </c>
      <c r="BC48" s="12">
        <f>AU56</f>
        <v>1</v>
      </c>
      <c r="BD48" s="12">
        <f>AU57</f>
        <v>3</v>
      </c>
      <c r="BE48" s="12">
        <f>AU58</f>
        <v>1</v>
      </c>
      <c r="BF48" s="12">
        <f>AV58</f>
        <v>1</v>
      </c>
      <c r="BG48" s="12">
        <f>AU60</f>
        <v>2</v>
      </c>
      <c r="BH48" s="12">
        <f>AU61</f>
        <v>2</v>
      </c>
      <c r="BI48" s="12">
        <f>AV61</f>
        <v>2</v>
      </c>
      <c r="BJ48" s="12">
        <f>AU63</f>
        <v>2</v>
      </c>
      <c r="BK48" s="12">
        <f>AU64</f>
        <v>2</v>
      </c>
      <c r="BL48" s="12">
        <f>AU65</f>
        <v>3</v>
      </c>
      <c r="BM48" s="12">
        <f>AU66</f>
        <v>3</v>
      </c>
      <c r="BN48" s="12">
        <f>AU67</f>
        <v>3</v>
      </c>
      <c r="BO48" s="12">
        <f>AU68</f>
        <v>3</v>
      </c>
      <c r="BP48" s="12">
        <f>AU69</f>
        <v>3</v>
      </c>
      <c r="BQ48" s="12">
        <f>AU70</f>
        <v>2</v>
      </c>
      <c r="BR48" s="12">
        <f>AU71</f>
        <v>2</v>
      </c>
      <c r="BS48" s="12">
        <f>AU72</f>
        <v>3</v>
      </c>
      <c r="BT48" s="12">
        <f>AU73</f>
        <v>2</v>
      </c>
      <c r="BU48" s="12">
        <f>AU74</f>
        <v>2</v>
      </c>
      <c r="BV48" s="12">
        <f>AU75</f>
        <v>2</v>
      </c>
      <c r="BW48" s="12">
        <f>AU76</f>
        <v>2</v>
      </c>
      <c r="BX48" s="12">
        <f>AU77</f>
        <v>2</v>
      </c>
      <c r="BY48" s="12">
        <f>AU78</f>
        <v>2</v>
      </c>
      <c r="BZ48" s="12">
        <f>AU79</f>
        <v>2</v>
      </c>
      <c r="CA48" s="12">
        <f>AU80</f>
        <v>2</v>
      </c>
      <c r="CB48" s="12">
        <f>AU81</f>
        <v>2</v>
      </c>
      <c r="CC48" s="12">
        <f>AU82</f>
        <v>3</v>
      </c>
      <c r="CD48" s="12">
        <f>AU83</f>
        <v>3</v>
      </c>
      <c r="CE48" s="12">
        <f>AU84</f>
        <v>3</v>
      </c>
      <c r="CF48" s="12">
        <f>AU85</f>
        <v>2</v>
      </c>
      <c r="CG48" s="12">
        <f>AU86</f>
        <v>1</v>
      </c>
      <c r="CH48" s="66">
        <f>AU87</f>
        <v>3</v>
      </c>
    </row>
    <row r="49" spans="1:86" ht="12.75" customHeight="1" x14ac:dyDescent="0.25">
      <c r="A49" s="11" t="s">
        <v>291</v>
      </c>
      <c r="B49" s="12">
        <v>2</v>
      </c>
      <c r="C49" s="12">
        <v>2</v>
      </c>
      <c r="D49" s="12">
        <v>2</v>
      </c>
      <c r="E49" s="12">
        <v>2</v>
      </c>
      <c r="F49" s="12">
        <v>3</v>
      </c>
      <c r="G49" s="12">
        <v>3</v>
      </c>
      <c r="H49" s="71">
        <v>3</v>
      </c>
      <c r="I49" s="71">
        <v>2</v>
      </c>
      <c r="J49" s="12">
        <v>2</v>
      </c>
      <c r="K49" s="12">
        <v>2</v>
      </c>
      <c r="L49" s="12">
        <v>2</v>
      </c>
      <c r="M49" s="12">
        <v>2</v>
      </c>
      <c r="N49" s="12">
        <v>1</v>
      </c>
      <c r="O49" s="12">
        <v>3</v>
      </c>
      <c r="P49" s="12">
        <v>2</v>
      </c>
      <c r="Q49" s="12">
        <v>3</v>
      </c>
      <c r="R49" s="12">
        <v>2</v>
      </c>
      <c r="S49" s="12">
        <v>2</v>
      </c>
      <c r="T49" s="12">
        <v>2</v>
      </c>
      <c r="U49" s="12">
        <v>3</v>
      </c>
      <c r="V49" s="12">
        <v>2</v>
      </c>
      <c r="W49" s="12">
        <v>2</v>
      </c>
      <c r="X49" s="12">
        <v>3</v>
      </c>
      <c r="Y49" s="12">
        <v>2</v>
      </c>
      <c r="Z49" s="12">
        <v>2</v>
      </c>
      <c r="AA49" s="12">
        <v>1</v>
      </c>
      <c r="AB49" s="12">
        <v>2</v>
      </c>
      <c r="AC49" s="12">
        <v>3</v>
      </c>
      <c r="AD49" s="12">
        <v>2</v>
      </c>
      <c r="AE49" s="12">
        <v>2</v>
      </c>
      <c r="AF49" s="12">
        <v>2</v>
      </c>
      <c r="AG49" s="12">
        <v>3</v>
      </c>
      <c r="AH49" s="12">
        <v>3</v>
      </c>
      <c r="AI49" s="12">
        <v>3</v>
      </c>
      <c r="AJ49" s="12">
        <v>3</v>
      </c>
      <c r="AK49" s="12">
        <v>2</v>
      </c>
      <c r="AL49" s="12">
        <v>3</v>
      </c>
      <c r="AM49" s="12">
        <v>2</v>
      </c>
      <c r="AN49" s="12">
        <v>2</v>
      </c>
      <c r="AO49" s="12">
        <v>3</v>
      </c>
      <c r="AP49" s="12">
        <v>2</v>
      </c>
      <c r="AQ49" s="12">
        <v>2</v>
      </c>
      <c r="AR49" s="12">
        <v>2</v>
      </c>
      <c r="AS49" s="12">
        <v>3</v>
      </c>
      <c r="AT49" s="12">
        <v>2</v>
      </c>
      <c r="AU49" s="12">
        <v>1</v>
      </c>
      <c r="AV49" s="12" t="s">
        <v>63</v>
      </c>
      <c r="AW49" s="12">
        <f>AV50</f>
        <v>3</v>
      </c>
      <c r="AX49" s="12">
        <f>AV51</f>
        <v>2</v>
      </c>
      <c r="AY49" s="12">
        <f>AV52</f>
        <v>3</v>
      </c>
      <c r="AZ49" s="12">
        <f>AV53</f>
        <v>3</v>
      </c>
      <c r="BA49" s="12">
        <f>AV54</f>
        <v>2</v>
      </c>
      <c r="BB49" s="12">
        <f>AV55</f>
        <v>3</v>
      </c>
      <c r="BC49" s="12">
        <f>AV56</f>
        <v>1</v>
      </c>
      <c r="BD49" s="12">
        <f>AV57</f>
        <v>3</v>
      </c>
      <c r="BE49" s="12">
        <f>AV58</f>
        <v>1</v>
      </c>
      <c r="BF49" s="12">
        <f>AW58</f>
        <v>2</v>
      </c>
      <c r="BG49" s="12">
        <f>AV60</f>
        <v>2</v>
      </c>
      <c r="BH49" s="12">
        <f>AV61</f>
        <v>2</v>
      </c>
      <c r="BI49" s="12">
        <f>AV62</f>
        <v>1</v>
      </c>
      <c r="BJ49" s="12">
        <f>AW62</f>
        <v>3</v>
      </c>
      <c r="BK49" s="12">
        <f>AV64</f>
        <v>2</v>
      </c>
      <c r="BL49" s="12">
        <f>AV65</f>
        <v>3</v>
      </c>
      <c r="BM49" s="12">
        <f>AV66</f>
        <v>3</v>
      </c>
      <c r="BN49" s="12">
        <f>AV67</f>
        <v>3</v>
      </c>
      <c r="BO49" s="12">
        <f>AV68</f>
        <v>3</v>
      </c>
      <c r="BP49" s="12">
        <f>AV69</f>
        <v>3</v>
      </c>
      <c r="BQ49" s="12">
        <f>AV70</f>
        <v>2</v>
      </c>
      <c r="BR49" s="12">
        <f>AV71</f>
        <v>2</v>
      </c>
      <c r="BS49" s="12">
        <f>AV72</f>
        <v>3</v>
      </c>
      <c r="BT49" s="12">
        <f>AV73</f>
        <v>2</v>
      </c>
      <c r="BU49" s="12">
        <f>AV74</f>
        <v>2</v>
      </c>
      <c r="BV49" s="12">
        <f>AV75</f>
        <v>2</v>
      </c>
      <c r="BW49" s="12">
        <f>AV76</f>
        <v>2</v>
      </c>
      <c r="BX49" s="12">
        <f>AV77</f>
        <v>2</v>
      </c>
      <c r="BY49" s="12">
        <f>AV78</f>
        <v>2</v>
      </c>
      <c r="BZ49" s="12">
        <f>AV79</f>
        <v>2</v>
      </c>
      <c r="CA49" s="12">
        <f>AV80</f>
        <v>2</v>
      </c>
      <c r="CB49" s="12">
        <f>AV81</f>
        <v>2</v>
      </c>
      <c r="CC49" s="12">
        <f>AV82</f>
        <v>3</v>
      </c>
      <c r="CD49" s="12">
        <f>AV83</f>
        <v>3</v>
      </c>
      <c r="CE49" s="12">
        <f>AV84</f>
        <v>3</v>
      </c>
      <c r="CF49" s="12">
        <f>AV85</f>
        <v>2</v>
      </c>
      <c r="CG49" s="12">
        <f>AV86</f>
        <v>1</v>
      </c>
      <c r="CH49" s="66">
        <f>AV87</f>
        <v>3</v>
      </c>
    </row>
    <row r="50" spans="1:86" s="13" customFormat="1" ht="12.75" customHeight="1" x14ac:dyDescent="0.25">
      <c r="A50" s="11" t="s">
        <v>101</v>
      </c>
      <c r="B50" s="12">
        <v>2</v>
      </c>
      <c r="C50" s="12">
        <v>2</v>
      </c>
      <c r="D50" s="12">
        <v>2</v>
      </c>
      <c r="E50" s="12">
        <v>4</v>
      </c>
      <c r="F50" s="12">
        <v>4</v>
      </c>
      <c r="G50" s="12">
        <v>4</v>
      </c>
      <c r="H50" s="71">
        <v>4</v>
      </c>
      <c r="I50" s="71">
        <v>3</v>
      </c>
      <c r="J50" s="12">
        <v>3</v>
      </c>
      <c r="K50" s="12">
        <v>2</v>
      </c>
      <c r="L50" s="12">
        <v>2</v>
      </c>
      <c r="M50" s="12">
        <v>2</v>
      </c>
      <c r="N50" s="12">
        <v>1</v>
      </c>
      <c r="O50" s="12">
        <v>4</v>
      </c>
      <c r="P50" s="12">
        <v>2</v>
      </c>
      <c r="Q50" s="12">
        <v>4</v>
      </c>
      <c r="R50" s="12">
        <v>4</v>
      </c>
      <c r="S50" s="12">
        <v>3</v>
      </c>
      <c r="T50" s="12">
        <v>2</v>
      </c>
      <c r="U50" s="12">
        <v>4</v>
      </c>
      <c r="V50" s="12">
        <v>3</v>
      </c>
      <c r="W50" s="12">
        <v>2</v>
      </c>
      <c r="X50" s="12">
        <v>4</v>
      </c>
      <c r="Y50" s="12">
        <v>2</v>
      </c>
      <c r="Z50" s="12">
        <v>3</v>
      </c>
      <c r="AA50" s="12">
        <v>4</v>
      </c>
      <c r="AB50" s="12">
        <v>3</v>
      </c>
      <c r="AC50" s="12">
        <v>4</v>
      </c>
      <c r="AD50" s="12">
        <v>3</v>
      </c>
      <c r="AE50" s="12">
        <v>3</v>
      </c>
      <c r="AF50" s="12">
        <v>4</v>
      </c>
      <c r="AG50" s="12">
        <v>4</v>
      </c>
      <c r="AH50" s="12">
        <v>4</v>
      </c>
      <c r="AI50" s="12">
        <v>4</v>
      </c>
      <c r="AJ50" s="12">
        <v>4</v>
      </c>
      <c r="AK50" s="12">
        <v>3</v>
      </c>
      <c r="AL50" s="12">
        <v>4</v>
      </c>
      <c r="AM50" s="12">
        <v>2</v>
      </c>
      <c r="AN50" s="12">
        <v>2</v>
      </c>
      <c r="AO50" s="12">
        <v>4</v>
      </c>
      <c r="AP50" s="12">
        <v>3</v>
      </c>
      <c r="AQ50" s="12">
        <v>2</v>
      </c>
      <c r="AR50" s="12">
        <v>2</v>
      </c>
      <c r="AS50" s="12">
        <v>4</v>
      </c>
      <c r="AT50" s="12">
        <v>2</v>
      </c>
      <c r="AU50" s="12">
        <v>3</v>
      </c>
      <c r="AV50" s="12">
        <v>3</v>
      </c>
      <c r="AW50" s="12" t="s">
        <v>63</v>
      </c>
      <c r="AX50" s="12">
        <f>AW51</f>
        <v>3</v>
      </c>
      <c r="AY50" s="12">
        <f>AW52</f>
        <v>4</v>
      </c>
      <c r="AZ50" s="12">
        <f>AW53</f>
        <v>4</v>
      </c>
      <c r="BA50" s="12">
        <f>AW54</f>
        <v>3</v>
      </c>
      <c r="BB50" s="12">
        <f>AW55</f>
        <v>4</v>
      </c>
      <c r="BC50" s="12">
        <f>AW56</f>
        <v>4</v>
      </c>
      <c r="BD50" s="12">
        <f>AW57</f>
        <v>4</v>
      </c>
      <c r="BE50" s="12">
        <f>AW58</f>
        <v>2</v>
      </c>
      <c r="BF50" s="12">
        <f>AX58</f>
        <v>1</v>
      </c>
      <c r="BG50" s="12">
        <f>AW60</f>
        <v>3</v>
      </c>
      <c r="BH50" s="12">
        <f>AW61</f>
        <v>3</v>
      </c>
      <c r="BI50" s="12">
        <f>AW62</f>
        <v>3</v>
      </c>
      <c r="BJ50" s="12">
        <f>AW63</f>
        <v>3</v>
      </c>
      <c r="BK50" s="12">
        <f>AX63</f>
        <v>2</v>
      </c>
      <c r="BL50" s="12">
        <f>AW65</f>
        <v>4</v>
      </c>
      <c r="BM50" s="12">
        <f>AW66</f>
        <v>4</v>
      </c>
      <c r="BN50" s="12">
        <f>AW67</f>
        <v>4</v>
      </c>
      <c r="BO50" s="12">
        <f>AW68</f>
        <v>4</v>
      </c>
      <c r="BP50" s="12">
        <f>AW69</f>
        <v>4</v>
      </c>
      <c r="BQ50" s="12">
        <f>AW70</f>
        <v>3</v>
      </c>
      <c r="BR50" s="12">
        <f>AW71</f>
        <v>4</v>
      </c>
      <c r="BS50" s="12">
        <f>AW72</f>
        <v>4</v>
      </c>
      <c r="BT50" s="12">
        <f>AW73</f>
        <v>3</v>
      </c>
      <c r="BU50" s="12">
        <f>AW74</f>
        <v>2</v>
      </c>
      <c r="BV50" s="12">
        <f>AW75</f>
        <v>4</v>
      </c>
      <c r="BW50" s="12">
        <f>AW76</f>
        <v>3</v>
      </c>
      <c r="BX50" s="12">
        <f>AW77</f>
        <v>3</v>
      </c>
      <c r="BY50" s="12">
        <f>AW78</f>
        <v>3</v>
      </c>
      <c r="BZ50" s="12">
        <f>AW79</f>
        <v>3</v>
      </c>
      <c r="CA50" s="12">
        <f>AW80</f>
        <v>3</v>
      </c>
      <c r="CB50" s="12">
        <f>AW81</f>
        <v>3</v>
      </c>
      <c r="CC50" s="12">
        <f>AW82</f>
        <v>4</v>
      </c>
      <c r="CD50" s="12">
        <f>AW83</f>
        <v>4</v>
      </c>
      <c r="CE50" s="12">
        <f>AW84</f>
        <v>4</v>
      </c>
      <c r="CF50" s="12">
        <f>AW85</f>
        <v>3</v>
      </c>
      <c r="CG50" s="12">
        <f>AW86</f>
        <v>4</v>
      </c>
      <c r="CH50" s="15">
        <f>AW87</f>
        <v>4</v>
      </c>
    </row>
    <row r="51" spans="1:86" ht="12.75" customHeight="1" x14ac:dyDescent="0.25">
      <c r="A51" s="11" t="s">
        <v>191</v>
      </c>
      <c r="B51" s="12">
        <v>2</v>
      </c>
      <c r="C51" s="12">
        <v>2</v>
      </c>
      <c r="D51" s="12">
        <v>2</v>
      </c>
      <c r="E51" s="12">
        <v>2</v>
      </c>
      <c r="F51" s="12">
        <v>3</v>
      </c>
      <c r="G51" s="12">
        <v>3</v>
      </c>
      <c r="H51" s="71">
        <v>3</v>
      </c>
      <c r="I51" s="71">
        <v>2</v>
      </c>
      <c r="J51" s="12">
        <v>1</v>
      </c>
      <c r="K51" s="12">
        <v>2</v>
      </c>
      <c r="L51" s="12">
        <v>2</v>
      </c>
      <c r="M51" s="12">
        <v>2</v>
      </c>
      <c r="N51" s="12">
        <v>1</v>
      </c>
      <c r="O51" s="12">
        <v>3</v>
      </c>
      <c r="P51" s="12">
        <v>2</v>
      </c>
      <c r="Q51" s="12">
        <v>1</v>
      </c>
      <c r="R51" s="12">
        <v>2</v>
      </c>
      <c r="S51" s="12">
        <v>2</v>
      </c>
      <c r="T51" s="12">
        <v>2</v>
      </c>
      <c r="U51" s="12">
        <v>3</v>
      </c>
      <c r="V51" s="12">
        <v>2</v>
      </c>
      <c r="W51" s="12">
        <v>2</v>
      </c>
      <c r="X51" s="12">
        <v>3</v>
      </c>
      <c r="Y51" s="12">
        <v>2</v>
      </c>
      <c r="Z51" s="12">
        <v>2</v>
      </c>
      <c r="AA51" s="12">
        <v>3</v>
      </c>
      <c r="AB51" s="12">
        <v>2</v>
      </c>
      <c r="AC51" s="12">
        <v>3</v>
      </c>
      <c r="AD51" s="12">
        <v>2</v>
      </c>
      <c r="AE51" s="12">
        <v>2</v>
      </c>
      <c r="AF51" s="12">
        <v>2</v>
      </c>
      <c r="AG51" s="12">
        <v>3</v>
      </c>
      <c r="AH51" s="12">
        <v>3</v>
      </c>
      <c r="AI51" s="12">
        <v>2</v>
      </c>
      <c r="AJ51" s="12">
        <v>1</v>
      </c>
      <c r="AK51" s="12">
        <v>1</v>
      </c>
      <c r="AL51" s="12">
        <v>3</v>
      </c>
      <c r="AM51" s="12">
        <v>2</v>
      </c>
      <c r="AN51" s="12">
        <v>2</v>
      </c>
      <c r="AO51" s="12">
        <v>3</v>
      </c>
      <c r="AP51" s="12">
        <v>1</v>
      </c>
      <c r="AQ51" s="12">
        <v>2</v>
      </c>
      <c r="AR51" s="12">
        <v>2</v>
      </c>
      <c r="AS51" s="12">
        <v>3</v>
      </c>
      <c r="AT51" s="12">
        <v>2</v>
      </c>
      <c r="AU51" s="12">
        <v>1</v>
      </c>
      <c r="AV51" s="12">
        <v>2</v>
      </c>
      <c r="AW51" s="12">
        <v>3</v>
      </c>
      <c r="AX51" s="12" t="s">
        <v>63</v>
      </c>
      <c r="AY51" s="12">
        <f>AX52</f>
        <v>3</v>
      </c>
      <c r="AZ51" s="12">
        <f>AX53</f>
        <v>3</v>
      </c>
      <c r="BA51" s="12">
        <f>AX54</f>
        <v>2</v>
      </c>
      <c r="BB51" s="12">
        <f>AX55</f>
        <v>1</v>
      </c>
      <c r="BC51" s="12">
        <f>AX56</f>
        <v>3</v>
      </c>
      <c r="BD51" s="12">
        <f>AX57</f>
        <v>3</v>
      </c>
      <c r="BE51" s="12">
        <f>AX58</f>
        <v>1</v>
      </c>
      <c r="BF51" s="12">
        <f>AY58</f>
        <v>3</v>
      </c>
      <c r="BG51" s="12">
        <f>AX60</f>
        <v>2</v>
      </c>
      <c r="BH51" s="12">
        <f>AX61</f>
        <v>2</v>
      </c>
      <c r="BI51" s="12">
        <f>AX62</f>
        <v>1</v>
      </c>
      <c r="BJ51" s="12">
        <f>AX63</f>
        <v>2</v>
      </c>
      <c r="BK51" s="12">
        <f>AX64</f>
        <v>2</v>
      </c>
      <c r="BL51" s="12">
        <f>AY64</f>
        <v>4</v>
      </c>
      <c r="BM51" s="12">
        <f>AX66</f>
        <v>1</v>
      </c>
      <c r="BN51" s="12">
        <f>AX67</f>
        <v>3</v>
      </c>
      <c r="BO51" s="12">
        <f>AX68</f>
        <v>3</v>
      </c>
      <c r="BP51" s="12">
        <f>AX69</f>
        <v>3</v>
      </c>
      <c r="BQ51" s="12">
        <f>AX70</f>
        <v>2</v>
      </c>
      <c r="BR51" s="12">
        <f>AX71</f>
        <v>2</v>
      </c>
      <c r="BS51" s="12">
        <f>AX72</f>
        <v>3</v>
      </c>
      <c r="BT51" s="12">
        <f>AX73</f>
        <v>2</v>
      </c>
      <c r="BU51" s="12">
        <f>AX74</f>
        <v>2</v>
      </c>
      <c r="BV51" s="12">
        <f>AX75</f>
        <v>2</v>
      </c>
      <c r="BW51" s="12">
        <f>AX76</f>
        <v>2</v>
      </c>
      <c r="BX51" s="12">
        <f>AX77</f>
        <v>2</v>
      </c>
      <c r="BY51" s="12">
        <f>AX78</f>
        <v>2</v>
      </c>
      <c r="BZ51" s="12">
        <f>AX79</f>
        <v>2</v>
      </c>
      <c r="CA51" s="12">
        <f>AX80</f>
        <v>2</v>
      </c>
      <c r="CB51" s="12">
        <f>AX81</f>
        <v>2</v>
      </c>
      <c r="CC51" s="12">
        <f>AX82</f>
        <v>3</v>
      </c>
      <c r="CD51" s="12">
        <f>AX83</f>
        <v>3</v>
      </c>
      <c r="CE51" s="12">
        <f>AX84</f>
        <v>3</v>
      </c>
      <c r="CF51" s="12">
        <f>AX85</f>
        <v>2</v>
      </c>
      <c r="CG51" s="12">
        <f>AX86</f>
        <v>3</v>
      </c>
      <c r="CH51" s="66">
        <f>AX87</f>
        <v>3</v>
      </c>
    </row>
    <row r="52" spans="1:86" ht="12.75" customHeight="1" x14ac:dyDescent="0.25">
      <c r="A52" s="11" t="s">
        <v>67</v>
      </c>
      <c r="B52" s="12">
        <v>4</v>
      </c>
      <c r="C52" s="12">
        <v>4</v>
      </c>
      <c r="D52" s="12">
        <v>4</v>
      </c>
      <c r="E52" s="12">
        <v>4</v>
      </c>
      <c r="F52" s="12">
        <v>4</v>
      </c>
      <c r="G52" s="12">
        <v>4</v>
      </c>
      <c r="H52" s="71">
        <v>4</v>
      </c>
      <c r="I52" s="71">
        <v>3</v>
      </c>
      <c r="J52" s="12">
        <v>3</v>
      </c>
      <c r="K52" s="12">
        <v>4</v>
      </c>
      <c r="L52" s="12">
        <v>4</v>
      </c>
      <c r="M52" s="12">
        <v>4</v>
      </c>
      <c r="N52" s="12">
        <v>3</v>
      </c>
      <c r="O52" s="12">
        <v>4</v>
      </c>
      <c r="P52" s="12">
        <v>4</v>
      </c>
      <c r="Q52" s="12">
        <v>4</v>
      </c>
      <c r="R52" s="12">
        <v>4</v>
      </c>
      <c r="S52" s="12">
        <v>3</v>
      </c>
      <c r="T52" s="12">
        <v>4</v>
      </c>
      <c r="U52" s="12">
        <v>4</v>
      </c>
      <c r="V52" s="12">
        <v>4</v>
      </c>
      <c r="W52" s="12">
        <v>4</v>
      </c>
      <c r="X52" s="12">
        <v>4</v>
      </c>
      <c r="Y52" s="12">
        <v>4</v>
      </c>
      <c r="Z52" s="12">
        <v>4</v>
      </c>
      <c r="AA52" s="12">
        <v>4</v>
      </c>
      <c r="AB52" s="12">
        <v>4</v>
      </c>
      <c r="AC52" s="12">
        <v>4</v>
      </c>
      <c r="AD52" s="12">
        <v>4</v>
      </c>
      <c r="AE52" s="12">
        <v>4</v>
      </c>
      <c r="AF52" s="12">
        <v>4</v>
      </c>
      <c r="AG52" s="12">
        <v>4</v>
      </c>
      <c r="AH52" s="12">
        <v>4</v>
      </c>
      <c r="AI52" s="12">
        <v>4</v>
      </c>
      <c r="AJ52" s="12">
        <v>4</v>
      </c>
      <c r="AK52" s="12">
        <v>3</v>
      </c>
      <c r="AL52" s="12">
        <v>4</v>
      </c>
      <c r="AM52" s="12">
        <v>4</v>
      </c>
      <c r="AN52" s="12">
        <v>4</v>
      </c>
      <c r="AO52" s="12">
        <v>4</v>
      </c>
      <c r="AP52" s="12">
        <v>3</v>
      </c>
      <c r="AQ52" s="12">
        <v>4</v>
      </c>
      <c r="AR52" s="12">
        <v>4</v>
      </c>
      <c r="AS52" s="12">
        <v>4</v>
      </c>
      <c r="AT52" s="12">
        <v>4</v>
      </c>
      <c r="AU52" s="12">
        <v>3</v>
      </c>
      <c r="AV52" s="12">
        <v>3</v>
      </c>
      <c r="AW52" s="12">
        <v>4</v>
      </c>
      <c r="AX52" s="12">
        <v>3</v>
      </c>
      <c r="AY52" s="12" t="s">
        <v>63</v>
      </c>
      <c r="AZ52" s="12">
        <f>AY53</f>
        <v>4</v>
      </c>
      <c r="BA52" s="12">
        <f>AY54</f>
        <v>3</v>
      </c>
      <c r="BB52" s="12">
        <f>AY55</f>
        <v>4</v>
      </c>
      <c r="BC52" s="12">
        <f>AY56</f>
        <v>4</v>
      </c>
      <c r="BD52" s="12">
        <f>AY57</f>
        <v>3</v>
      </c>
      <c r="BE52" s="12">
        <f>AY58</f>
        <v>3</v>
      </c>
      <c r="BF52" s="12">
        <f>AZ58</f>
        <v>2</v>
      </c>
      <c r="BG52" s="12">
        <f>AY60</f>
        <v>4</v>
      </c>
      <c r="BH52" s="12">
        <f>AY61</f>
        <v>3</v>
      </c>
      <c r="BI52" s="12">
        <f>AY62</f>
        <v>3</v>
      </c>
      <c r="BJ52" s="12">
        <f>AY63</f>
        <v>4</v>
      </c>
      <c r="BK52" s="12">
        <f>AY64</f>
        <v>4</v>
      </c>
      <c r="BL52" s="12">
        <f>AY65</f>
        <v>4</v>
      </c>
      <c r="BM52" s="12">
        <f>AZ65</f>
        <v>4</v>
      </c>
      <c r="BN52" s="12">
        <f>AY67</f>
        <v>4</v>
      </c>
      <c r="BO52" s="12">
        <f>AY68</f>
        <v>4</v>
      </c>
      <c r="BP52" s="12">
        <f>AY69</f>
        <v>4</v>
      </c>
      <c r="BQ52" s="12">
        <f>AY70</f>
        <v>3</v>
      </c>
      <c r="BR52" s="12">
        <f>AY71</f>
        <v>4</v>
      </c>
      <c r="BS52" s="12">
        <f>AY72</f>
        <v>4</v>
      </c>
      <c r="BT52" s="12">
        <f>AY73</f>
        <v>3</v>
      </c>
      <c r="BU52" s="12">
        <f>AY74</f>
        <v>1</v>
      </c>
      <c r="BV52" s="12">
        <f>AY75</f>
        <v>4</v>
      </c>
      <c r="BW52" s="12">
        <f>AY76</f>
        <v>4</v>
      </c>
      <c r="BX52" s="12">
        <f>AY77</f>
        <v>4</v>
      </c>
      <c r="BY52" s="12">
        <f>AY78</f>
        <v>3</v>
      </c>
      <c r="BZ52" s="12">
        <f>AY79</f>
        <v>3</v>
      </c>
      <c r="CA52" s="12">
        <f>AY80</f>
        <v>3</v>
      </c>
      <c r="CB52" s="12">
        <f>AY81</f>
        <v>4</v>
      </c>
      <c r="CC52" s="12">
        <f>AY82</f>
        <v>4</v>
      </c>
      <c r="CD52" s="12">
        <f>AY83</f>
        <v>4</v>
      </c>
      <c r="CE52" s="12">
        <f>AY84</f>
        <v>4</v>
      </c>
      <c r="CF52" s="12">
        <f>AY85</f>
        <v>2</v>
      </c>
      <c r="CG52" s="12">
        <f>AY86</f>
        <v>4</v>
      </c>
      <c r="CH52" s="66">
        <f>AY87</f>
        <v>4</v>
      </c>
    </row>
    <row r="53" spans="1:86" ht="12.75" customHeight="1" x14ac:dyDescent="0.25">
      <c r="A53" s="11" t="s">
        <v>20</v>
      </c>
      <c r="B53" s="12">
        <v>3</v>
      </c>
      <c r="C53" s="12">
        <v>3</v>
      </c>
      <c r="D53" s="12">
        <v>3</v>
      </c>
      <c r="E53" s="12">
        <v>4</v>
      </c>
      <c r="F53" s="12">
        <v>4</v>
      </c>
      <c r="G53" s="12">
        <v>4</v>
      </c>
      <c r="H53" s="71">
        <v>4</v>
      </c>
      <c r="I53" s="71">
        <v>2</v>
      </c>
      <c r="J53" s="12">
        <v>2</v>
      </c>
      <c r="K53" s="12">
        <v>3</v>
      </c>
      <c r="L53" s="12">
        <v>3</v>
      </c>
      <c r="M53" s="12">
        <v>3</v>
      </c>
      <c r="N53" s="12">
        <v>2</v>
      </c>
      <c r="O53" s="12">
        <v>4</v>
      </c>
      <c r="P53" s="12">
        <v>3</v>
      </c>
      <c r="Q53" s="12">
        <v>4</v>
      </c>
      <c r="R53" s="12">
        <v>4</v>
      </c>
      <c r="S53" s="12">
        <v>1</v>
      </c>
      <c r="T53" s="12">
        <v>3</v>
      </c>
      <c r="U53" s="12">
        <v>4</v>
      </c>
      <c r="V53" s="12">
        <v>3</v>
      </c>
      <c r="W53" s="12">
        <v>3</v>
      </c>
      <c r="X53" s="12">
        <v>4</v>
      </c>
      <c r="Y53" s="12">
        <v>3</v>
      </c>
      <c r="Z53" s="12">
        <v>3</v>
      </c>
      <c r="AA53" s="12">
        <v>4</v>
      </c>
      <c r="AB53" s="12">
        <v>3</v>
      </c>
      <c r="AC53" s="12">
        <v>4</v>
      </c>
      <c r="AD53" s="12">
        <v>3</v>
      </c>
      <c r="AE53" s="12">
        <v>3</v>
      </c>
      <c r="AF53" s="12">
        <v>4</v>
      </c>
      <c r="AG53" s="12">
        <v>4</v>
      </c>
      <c r="AH53" s="12">
        <v>4</v>
      </c>
      <c r="AI53" s="12">
        <v>4</v>
      </c>
      <c r="AJ53" s="12">
        <v>4</v>
      </c>
      <c r="AK53" s="12">
        <v>3</v>
      </c>
      <c r="AL53" s="12">
        <v>4</v>
      </c>
      <c r="AM53" s="12">
        <v>3</v>
      </c>
      <c r="AN53" s="12">
        <v>3</v>
      </c>
      <c r="AO53" s="12">
        <v>4</v>
      </c>
      <c r="AP53" s="12">
        <v>3</v>
      </c>
      <c r="AQ53" s="12">
        <v>3</v>
      </c>
      <c r="AR53" s="12">
        <v>3</v>
      </c>
      <c r="AS53" s="12">
        <v>4</v>
      </c>
      <c r="AT53" s="12">
        <v>3</v>
      </c>
      <c r="AU53" s="12">
        <v>3</v>
      </c>
      <c r="AV53" s="12">
        <v>3</v>
      </c>
      <c r="AW53" s="12">
        <v>4</v>
      </c>
      <c r="AX53" s="12">
        <v>3</v>
      </c>
      <c r="AY53" s="12">
        <v>4</v>
      </c>
      <c r="AZ53" s="12" t="s">
        <v>63</v>
      </c>
      <c r="BA53" s="12">
        <f>AZ54</f>
        <v>3</v>
      </c>
      <c r="BB53" s="12">
        <f>AZ55</f>
        <v>4</v>
      </c>
      <c r="BC53" s="12">
        <f>AZ56</f>
        <v>4</v>
      </c>
      <c r="BD53" s="12">
        <f>AZ57</f>
        <v>4</v>
      </c>
      <c r="BE53" s="12">
        <f>AZ58</f>
        <v>2</v>
      </c>
      <c r="BF53" s="12">
        <f>BA58</f>
        <v>1</v>
      </c>
      <c r="BG53" s="12">
        <f>AZ60</f>
        <v>3</v>
      </c>
      <c r="BH53" s="12">
        <f>AZ61</f>
        <v>3</v>
      </c>
      <c r="BI53" s="12">
        <f>AZ62</f>
        <v>3</v>
      </c>
      <c r="BJ53" s="12">
        <f>AZ63</f>
        <v>3</v>
      </c>
      <c r="BK53" s="12">
        <f>AZ64</f>
        <v>3</v>
      </c>
      <c r="BL53" s="12">
        <f>AZ65</f>
        <v>4</v>
      </c>
      <c r="BM53" s="12">
        <f>AZ66</f>
        <v>4</v>
      </c>
      <c r="BN53" s="12">
        <f>BA66</f>
        <v>3</v>
      </c>
      <c r="BO53" s="12">
        <f>AZ68</f>
        <v>4</v>
      </c>
      <c r="BP53" s="12">
        <f>AZ69</f>
        <v>4</v>
      </c>
      <c r="BQ53" s="12">
        <f>AZ70</f>
        <v>3</v>
      </c>
      <c r="BR53" s="12">
        <f>AZ71</f>
        <v>4</v>
      </c>
      <c r="BS53" s="12">
        <f>AZ72</f>
        <v>4</v>
      </c>
      <c r="BT53" s="12">
        <f>AZ73</f>
        <v>3</v>
      </c>
      <c r="BU53" s="12">
        <f>AZ74</f>
        <v>3</v>
      </c>
      <c r="BV53" s="12">
        <f>AZ75</f>
        <v>4</v>
      </c>
      <c r="BW53" s="12">
        <f>AZ76</f>
        <v>3</v>
      </c>
      <c r="BX53" s="12">
        <f>AZ77</f>
        <v>3</v>
      </c>
      <c r="BY53" s="12">
        <f>AZ78</f>
        <v>3</v>
      </c>
      <c r="BZ53" s="12">
        <f>AZ79</f>
        <v>2</v>
      </c>
      <c r="CA53" s="12">
        <f>AZ80</f>
        <v>3</v>
      </c>
      <c r="CB53" s="12">
        <f>AZ81</f>
        <v>3</v>
      </c>
      <c r="CC53" s="12">
        <f>AZ82</f>
        <v>4</v>
      </c>
      <c r="CD53" s="12">
        <f>AZ83</f>
        <v>4</v>
      </c>
      <c r="CE53" s="12">
        <f>AZ84</f>
        <v>4</v>
      </c>
      <c r="CF53" s="12">
        <f>AZ85</f>
        <v>3</v>
      </c>
      <c r="CG53" s="12">
        <f>AZ86</f>
        <v>4</v>
      </c>
      <c r="CH53" s="66">
        <f>AZ87</f>
        <v>4</v>
      </c>
    </row>
    <row r="54" spans="1:86" ht="12.75" customHeight="1" x14ac:dyDescent="0.25">
      <c r="A54" s="11" t="s">
        <v>274</v>
      </c>
      <c r="B54" s="12">
        <v>2</v>
      </c>
      <c r="C54" s="12">
        <v>2</v>
      </c>
      <c r="D54" s="12">
        <v>2</v>
      </c>
      <c r="E54" s="12">
        <v>3</v>
      </c>
      <c r="F54" s="12">
        <v>3</v>
      </c>
      <c r="G54" s="12">
        <v>3</v>
      </c>
      <c r="H54" s="71">
        <v>3</v>
      </c>
      <c r="I54" s="71">
        <v>2</v>
      </c>
      <c r="J54" s="12">
        <v>1</v>
      </c>
      <c r="K54" s="12">
        <v>2</v>
      </c>
      <c r="L54" s="12">
        <v>2</v>
      </c>
      <c r="M54" s="12">
        <v>2</v>
      </c>
      <c r="N54" s="12">
        <v>1</v>
      </c>
      <c r="O54" s="12">
        <v>3</v>
      </c>
      <c r="P54" s="12">
        <v>2</v>
      </c>
      <c r="Q54" s="12">
        <v>3</v>
      </c>
      <c r="R54" s="12">
        <v>3</v>
      </c>
      <c r="S54" s="12">
        <v>2</v>
      </c>
      <c r="T54" s="12">
        <v>2</v>
      </c>
      <c r="U54" s="12">
        <v>2</v>
      </c>
      <c r="V54" s="12">
        <v>2</v>
      </c>
      <c r="W54" s="12">
        <v>2</v>
      </c>
      <c r="X54" s="12">
        <v>3</v>
      </c>
      <c r="Y54" s="12">
        <v>2</v>
      </c>
      <c r="Z54" s="12">
        <v>2</v>
      </c>
      <c r="AA54" s="12">
        <v>3</v>
      </c>
      <c r="AB54" s="12">
        <v>2</v>
      </c>
      <c r="AC54" s="12">
        <v>3</v>
      </c>
      <c r="AD54" s="12">
        <v>2</v>
      </c>
      <c r="AE54" s="12">
        <v>2</v>
      </c>
      <c r="AF54" s="12">
        <v>3</v>
      </c>
      <c r="AG54" s="12">
        <v>3</v>
      </c>
      <c r="AH54" s="12">
        <v>3</v>
      </c>
      <c r="AI54" s="12">
        <v>3</v>
      </c>
      <c r="AJ54" s="12">
        <v>3</v>
      </c>
      <c r="AK54" s="12">
        <v>2</v>
      </c>
      <c r="AL54" s="12">
        <v>3</v>
      </c>
      <c r="AM54" s="12">
        <v>2</v>
      </c>
      <c r="AN54" s="12">
        <v>2</v>
      </c>
      <c r="AO54" s="12">
        <v>3</v>
      </c>
      <c r="AP54" s="12">
        <v>2</v>
      </c>
      <c r="AQ54" s="12">
        <v>2</v>
      </c>
      <c r="AR54" s="12">
        <v>2</v>
      </c>
      <c r="AS54" s="12">
        <v>3</v>
      </c>
      <c r="AT54" s="12">
        <v>2</v>
      </c>
      <c r="AU54" s="12">
        <v>2</v>
      </c>
      <c r="AV54" s="12">
        <v>2</v>
      </c>
      <c r="AW54" s="12">
        <v>3</v>
      </c>
      <c r="AX54" s="12">
        <v>2</v>
      </c>
      <c r="AY54" s="12">
        <v>3</v>
      </c>
      <c r="AZ54" s="12">
        <v>3</v>
      </c>
      <c r="BA54" s="12" t="s">
        <v>63</v>
      </c>
      <c r="BB54" s="12">
        <f>BA55</f>
        <v>3</v>
      </c>
      <c r="BC54" s="12">
        <f>BA56</f>
        <v>3</v>
      </c>
      <c r="BD54" s="12">
        <f>BA57</f>
        <v>3</v>
      </c>
      <c r="BE54" s="12">
        <f>BA58</f>
        <v>1</v>
      </c>
      <c r="BF54" s="12">
        <f>BB58</f>
        <v>2</v>
      </c>
      <c r="BG54" s="12">
        <f>BA60</f>
        <v>2</v>
      </c>
      <c r="BH54" s="12">
        <f>BA61</f>
        <v>2</v>
      </c>
      <c r="BI54" s="12">
        <f>BA62</f>
        <v>2</v>
      </c>
      <c r="BJ54" s="12">
        <f>BA63</f>
        <v>2</v>
      </c>
      <c r="BK54" s="12">
        <f>BA64</f>
        <v>2</v>
      </c>
      <c r="BL54" s="12">
        <f>BA65</f>
        <v>3</v>
      </c>
      <c r="BM54" s="12">
        <f>BA66</f>
        <v>3</v>
      </c>
      <c r="BN54" s="12">
        <f>BA67</f>
        <v>3</v>
      </c>
      <c r="BO54" s="12">
        <f>BB67</f>
        <v>4</v>
      </c>
      <c r="BP54" s="12">
        <f>BA69</f>
        <v>3</v>
      </c>
      <c r="BQ54" s="12">
        <f>BA70</f>
        <v>2</v>
      </c>
      <c r="BR54" s="12">
        <f>BA71</f>
        <v>3</v>
      </c>
      <c r="BS54" s="12">
        <f>BA72</f>
        <v>3</v>
      </c>
      <c r="BT54" s="12">
        <f>BA73</f>
        <v>2</v>
      </c>
      <c r="BU54" s="12">
        <f>BA74</f>
        <v>1</v>
      </c>
      <c r="BV54" s="12">
        <f>BA75</f>
        <v>3</v>
      </c>
      <c r="BW54" s="12">
        <f>BA76</f>
        <v>2</v>
      </c>
      <c r="BX54" s="12">
        <f>BA77</f>
        <v>2</v>
      </c>
      <c r="BY54" s="12">
        <f>BA78</f>
        <v>2</v>
      </c>
      <c r="BZ54" s="12">
        <f>BA79</f>
        <v>2</v>
      </c>
      <c r="CA54" s="12">
        <f>BA80</f>
        <v>2</v>
      </c>
      <c r="CB54" s="12">
        <f>BA81</f>
        <v>2</v>
      </c>
      <c r="CC54" s="12">
        <f>BA82</f>
        <v>3</v>
      </c>
      <c r="CD54" s="12">
        <f>BA83</f>
        <v>3</v>
      </c>
      <c r="CE54" s="12">
        <f>BA84</f>
        <v>3</v>
      </c>
      <c r="CF54" s="12">
        <f>BA85</f>
        <v>1</v>
      </c>
      <c r="CG54" s="12">
        <f>BA86</f>
        <v>3</v>
      </c>
      <c r="CH54" s="66">
        <f>BA87</f>
        <v>3</v>
      </c>
    </row>
    <row r="55" spans="1:86" ht="12.75" customHeight="1" x14ac:dyDescent="0.25">
      <c r="A55" s="11" t="s">
        <v>37</v>
      </c>
      <c r="B55" s="12">
        <v>3</v>
      </c>
      <c r="C55" s="12">
        <v>3</v>
      </c>
      <c r="D55" s="12">
        <v>3</v>
      </c>
      <c r="E55" s="12">
        <v>4</v>
      </c>
      <c r="F55" s="12">
        <v>4</v>
      </c>
      <c r="G55" s="12">
        <v>4</v>
      </c>
      <c r="H55" s="71">
        <v>4</v>
      </c>
      <c r="I55" s="71">
        <v>3</v>
      </c>
      <c r="J55" s="12">
        <v>3</v>
      </c>
      <c r="K55" s="12">
        <v>3</v>
      </c>
      <c r="L55" s="12">
        <v>3</v>
      </c>
      <c r="M55" s="12">
        <v>3</v>
      </c>
      <c r="N55" s="12">
        <v>2</v>
      </c>
      <c r="O55" s="12">
        <v>4</v>
      </c>
      <c r="P55" s="12">
        <v>3</v>
      </c>
      <c r="Q55" s="12">
        <v>2</v>
      </c>
      <c r="R55" s="12">
        <v>4</v>
      </c>
      <c r="S55" s="12">
        <v>3</v>
      </c>
      <c r="T55" s="12">
        <v>3</v>
      </c>
      <c r="U55" s="12">
        <v>4</v>
      </c>
      <c r="V55" s="12">
        <v>3</v>
      </c>
      <c r="W55" s="12">
        <v>3</v>
      </c>
      <c r="X55" s="12">
        <v>4</v>
      </c>
      <c r="Y55" s="12">
        <v>3</v>
      </c>
      <c r="Z55" s="12">
        <v>3</v>
      </c>
      <c r="AA55" s="12">
        <v>4</v>
      </c>
      <c r="AB55" s="12">
        <v>3</v>
      </c>
      <c r="AC55" s="12">
        <v>4</v>
      </c>
      <c r="AD55" s="12">
        <v>3</v>
      </c>
      <c r="AE55" s="12">
        <v>3</v>
      </c>
      <c r="AF55" s="12">
        <v>4</v>
      </c>
      <c r="AG55" s="12">
        <v>4</v>
      </c>
      <c r="AH55" s="12">
        <v>4</v>
      </c>
      <c r="AI55" s="12">
        <v>4</v>
      </c>
      <c r="AJ55" s="12">
        <v>2</v>
      </c>
      <c r="AK55" s="12">
        <v>1</v>
      </c>
      <c r="AL55" s="12">
        <v>4</v>
      </c>
      <c r="AM55" s="12">
        <v>3</v>
      </c>
      <c r="AN55" s="12">
        <v>3</v>
      </c>
      <c r="AO55" s="12">
        <v>4</v>
      </c>
      <c r="AP55" s="12">
        <v>3</v>
      </c>
      <c r="AQ55" s="12">
        <v>3</v>
      </c>
      <c r="AR55" s="12">
        <v>3</v>
      </c>
      <c r="AS55" s="12">
        <v>4</v>
      </c>
      <c r="AT55" s="12">
        <v>3</v>
      </c>
      <c r="AU55" s="12">
        <v>3</v>
      </c>
      <c r="AV55" s="12">
        <v>3</v>
      </c>
      <c r="AW55" s="12">
        <v>4</v>
      </c>
      <c r="AX55" s="12">
        <v>1</v>
      </c>
      <c r="AY55" s="12">
        <v>4</v>
      </c>
      <c r="AZ55" s="12">
        <v>4</v>
      </c>
      <c r="BA55" s="12">
        <v>3</v>
      </c>
      <c r="BB55" s="12" t="s">
        <v>63</v>
      </c>
      <c r="BC55" s="12">
        <f>BB56</f>
        <v>4</v>
      </c>
      <c r="BD55" s="12">
        <f>BB57</f>
        <v>4</v>
      </c>
      <c r="BE55" s="12">
        <f>BB58</f>
        <v>2</v>
      </c>
      <c r="BF55" s="12">
        <f>BC58</f>
        <v>3</v>
      </c>
      <c r="BG55" s="12">
        <f>BB60</f>
        <v>3</v>
      </c>
      <c r="BH55" s="12">
        <f>BB61</f>
        <v>3</v>
      </c>
      <c r="BI55" s="12">
        <f>BB62</f>
        <v>3</v>
      </c>
      <c r="BJ55" s="12">
        <f>BB63</f>
        <v>3</v>
      </c>
      <c r="BK55" s="12">
        <f>BB64</f>
        <v>3</v>
      </c>
      <c r="BL55" s="12">
        <f>BB65</f>
        <v>4</v>
      </c>
      <c r="BM55" s="12">
        <f>BB66</f>
        <v>2</v>
      </c>
      <c r="BN55" s="12">
        <f>BB67</f>
        <v>4</v>
      </c>
      <c r="BO55" s="12">
        <f>BB68</f>
        <v>4</v>
      </c>
      <c r="BP55" s="12">
        <f>BC68</f>
        <v>4</v>
      </c>
      <c r="BQ55" s="12">
        <f>BB70</f>
        <v>3</v>
      </c>
      <c r="BR55" s="12">
        <f>BB71</f>
        <v>4</v>
      </c>
      <c r="BS55" s="12">
        <f>BB72</f>
        <v>4</v>
      </c>
      <c r="BT55" s="12">
        <f>BB73</f>
        <v>3</v>
      </c>
      <c r="BU55" s="12">
        <f>BB74</f>
        <v>3</v>
      </c>
      <c r="BV55" s="12">
        <f>BB75</f>
        <v>4</v>
      </c>
      <c r="BW55" s="12">
        <f>BB76</f>
        <v>3</v>
      </c>
      <c r="BX55" s="12">
        <f>BB77</f>
        <v>3</v>
      </c>
      <c r="BY55" s="12">
        <f>BB78</f>
        <v>3</v>
      </c>
      <c r="BZ55" s="12">
        <f>BB79</f>
        <v>3</v>
      </c>
      <c r="CA55" s="12">
        <f>BB80</f>
        <v>3</v>
      </c>
      <c r="CB55" s="12">
        <f>BB81</f>
        <v>3</v>
      </c>
      <c r="CC55" s="12">
        <f>BB82</f>
        <v>4</v>
      </c>
      <c r="CD55" s="12">
        <f>BB83</f>
        <v>4</v>
      </c>
      <c r="CE55" s="12">
        <f>BB84</f>
        <v>4</v>
      </c>
      <c r="CF55" s="12">
        <f>BB85</f>
        <v>3</v>
      </c>
      <c r="CG55" s="12">
        <f>BB86</f>
        <v>4</v>
      </c>
      <c r="CH55" s="66">
        <f>BB87</f>
        <v>4</v>
      </c>
    </row>
    <row r="56" spans="1:86" ht="12.75" customHeight="1" x14ac:dyDescent="0.25">
      <c r="A56" s="11" t="s">
        <v>85</v>
      </c>
      <c r="B56" s="12">
        <v>4</v>
      </c>
      <c r="C56" s="12">
        <v>4</v>
      </c>
      <c r="D56" s="12">
        <v>4</v>
      </c>
      <c r="E56" s="12">
        <v>4</v>
      </c>
      <c r="F56" s="12">
        <v>4</v>
      </c>
      <c r="G56" s="12">
        <v>4</v>
      </c>
      <c r="H56" s="71">
        <v>4</v>
      </c>
      <c r="I56" s="71">
        <v>3</v>
      </c>
      <c r="J56" s="12">
        <v>3</v>
      </c>
      <c r="K56" s="12">
        <v>4</v>
      </c>
      <c r="L56" s="12">
        <v>4</v>
      </c>
      <c r="M56" s="12">
        <v>4</v>
      </c>
      <c r="N56" s="12">
        <v>3</v>
      </c>
      <c r="O56" s="12">
        <v>4</v>
      </c>
      <c r="P56" s="12">
        <v>4</v>
      </c>
      <c r="Q56" s="12">
        <v>4</v>
      </c>
      <c r="R56" s="12">
        <v>4</v>
      </c>
      <c r="S56" s="12">
        <v>3</v>
      </c>
      <c r="T56" s="12">
        <v>4</v>
      </c>
      <c r="U56" s="12">
        <v>4</v>
      </c>
      <c r="V56" s="12">
        <v>4</v>
      </c>
      <c r="W56" s="12">
        <v>4</v>
      </c>
      <c r="X56" s="12">
        <v>4</v>
      </c>
      <c r="Y56" s="12">
        <v>4</v>
      </c>
      <c r="Z56" s="12">
        <v>4</v>
      </c>
      <c r="AA56" s="12">
        <v>4</v>
      </c>
      <c r="AB56" s="12">
        <v>4</v>
      </c>
      <c r="AC56" s="12">
        <v>4</v>
      </c>
      <c r="AD56" s="12">
        <v>4</v>
      </c>
      <c r="AE56" s="12">
        <v>4</v>
      </c>
      <c r="AF56" s="12">
        <v>4</v>
      </c>
      <c r="AG56" s="12">
        <v>4</v>
      </c>
      <c r="AH56" s="12">
        <v>4</v>
      </c>
      <c r="AI56" s="12">
        <v>4</v>
      </c>
      <c r="AJ56" s="12">
        <v>4</v>
      </c>
      <c r="AK56" s="12">
        <v>3</v>
      </c>
      <c r="AL56" s="12">
        <v>4</v>
      </c>
      <c r="AM56" s="12">
        <v>4</v>
      </c>
      <c r="AN56" s="12">
        <v>4</v>
      </c>
      <c r="AO56" s="12">
        <v>4</v>
      </c>
      <c r="AP56" s="12">
        <v>3</v>
      </c>
      <c r="AQ56" s="12">
        <v>4</v>
      </c>
      <c r="AR56" s="12">
        <v>4</v>
      </c>
      <c r="AS56" s="12">
        <v>4</v>
      </c>
      <c r="AT56" s="12">
        <v>4</v>
      </c>
      <c r="AU56" s="12">
        <v>1</v>
      </c>
      <c r="AV56" s="12">
        <v>1</v>
      </c>
      <c r="AW56" s="12">
        <v>4</v>
      </c>
      <c r="AX56" s="12">
        <v>3</v>
      </c>
      <c r="AY56" s="12">
        <v>4</v>
      </c>
      <c r="AZ56" s="12">
        <v>4</v>
      </c>
      <c r="BA56" s="12">
        <v>3</v>
      </c>
      <c r="BB56" s="12">
        <v>4</v>
      </c>
      <c r="BC56" s="12" t="s">
        <v>63</v>
      </c>
      <c r="BD56" s="12">
        <f>BC57</f>
        <v>4</v>
      </c>
      <c r="BE56" s="12">
        <f>BC58</f>
        <v>3</v>
      </c>
      <c r="BF56" s="12">
        <f>BD58</f>
        <v>3</v>
      </c>
      <c r="BG56" s="12">
        <f>BC60</f>
        <v>4</v>
      </c>
      <c r="BH56" s="12">
        <f>BC61</f>
        <v>3</v>
      </c>
      <c r="BI56" s="12">
        <f>BC62</f>
        <v>3</v>
      </c>
      <c r="BJ56" s="12">
        <f>BC63</f>
        <v>4</v>
      </c>
      <c r="BK56" s="12">
        <f>BC64</f>
        <v>4</v>
      </c>
      <c r="BL56" s="12">
        <f>BC65</f>
        <v>4</v>
      </c>
      <c r="BM56" s="12">
        <f>BC66</f>
        <v>4</v>
      </c>
      <c r="BN56" s="12">
        <f>BC67</f>
        <v>4</v>
      </c>
      <c r="BO56" s="12">
        <f>BC68</f>
        <v>4</v>
      </c>
      <c r="BP56" s="12">
        <f>BC69</f>
        <v>4</v>
      </c>
      <c r="BQ56" s="12">
        <f>BD69</f>
        <v>4</v>
      </c>
      <c r="BR56" s="12">
        <f>BC71</f>
        <v>4</v>
      </c>
      <c r="BS56" s="12">
        <f>BC72</f>
        <v>4</v>
      </c>
      <c r="BT56" s="12">
        <f>BC73</f>
        <v>3</v>
      </c>
      <c r="BU56" s="12">
        <f>BC74</f>
        <v>3</v>
      </c>
      <c r="BV56" s="12">
        <f>BC75</f>
        <v>4</v>
      </c>
      <c r="BW56" s="12">
        <f>BC76</f>
        <v>4</v>
      </c>
      <c r="BX56" s="12">
        <f>BC77</f>
        <v>4</v>
      </c>
      <c r="BY56" s="12">
        <f>BC78</f>
        <v>3</v>
      </c>
      <c r="BZ56" s="12">
        <f>BC79</f>
        <v>3</v>
      </c>
      <c r="CA56" s="12">
        <f>BC80</f>
        <v>3</v>
      </c>
      <c r="CB56" s="12">
        <f>BC81</f>
        <v>4</v>
      </c>
      <c r="CC56" s="12">
        <f>BC82</f>
        <v>4</v>
      </c>
      <c r="CD56" s="12">
        <f>BC83</f>
        <v>4</v>
      </c>
      <c r="CE56" s="12">
        <f>BC84</f>
        <v>4</v>
      </c>
      <c r="CF56" s="12">
        <f>BC85</f>
        <v>3</v>
      </c>
      <c r="CG56" s="12">
        <f>BC86</f>
        <v>3</v>
      </c>
      <c r="CH56" s="15">
        <f>BC87</f>
        <v>4</v>
      </c>
    </row>
    <row r="57" spans="1:86" ht="12.75" customHeight="1" x14ac:dyDescent="0.25">
      <c r="A57" s="11" t="s">
        <v>68</v>
      </c>
      <c r="B57" s="12">
        <v>4</v>
      </c>
      <c r="C57" s="12">
        <v>4</v>
      </c>
      <c r="D57" s="12">
        <v>4</v>
      </c>
      <c r="E57" s="12">
        <v>4</v>
      </c>
      <c r="F57" s="12">
        <v>4</v>
      </c>
      <c r="G57" s="12">
        <v>4</v>
      </c>
      <c r="H57" s="71">
        <v>4</v>
      </c>
      <c r="I57" s="71">
        <v>3</v>
      </c>
      <c r="J57" s="12">
        <v>3</v>
      </c>
      <c r="K57" s="12">
        <v>4</v>
      </c>
      <c r="L57" s="12">
        <v>4</v>
      </c>
      <c r="M57" s="12">
        <v>4</v>
      </c>
      <c r="N57" s="12">
        <v>3</v>
      </c>
      <c r="O57" s="12">
        <v>4</v>
      </c>
      <c r="P57" s="12">
        <v>4</v>
      </c>
      <c r="Q57" s="12">
        <v>4</v>
      </c>
      <c r="R57" s="12">
        <v>4</v>
      </c>
      <c r="S57" s="12">
        <v>3</v>
      </c>
      <c r="T57" s="12">
        <v>4</v>
      </c>
      <c r="U57" s="12">
        <v>4</v>
      </c>
      <c r="V57" s="12">
        <v>4</v>
      </c>
      <c r="W57" s="12">
        <v>4</v>
      </c>
      <c r="X57" s="12">
        <v>4</v>
      </c>
      <c r="Y57" s="12">
        <v>4</v>
      </c>
      <c r="Z57" s="12">
        <v>4</v>
      </c>
      <c r="AA57" s="12">
        <v>4</v>
      </c>
      <c r="AB57" s="12">
        <v>4</v>
      </c>
      <c r="AC57" s="12">
        <v>4</v>
      </c>
      <c r="AD57" s="12">
        <v>4</v>
      </c>
      <c r="AE57" s="12">
        <v>4</v>
      </c>
      <c r="AF57" s="12">
        <v>4</v>
      </c>
      <c r="AG57" s="12">
        <v>4</v>
      </c>
      <c r="AH57" s="12">
        <v>4</v>
      </c>
      <c r="AI57" s="12">
        <v>4</v>
      </c>
      <c r="AJ57" s="12">
        <v>4</v>
      </c>
      <c r="AK57" s="12">
        <v>3</v>
      </c>
      <c r="AL57" s="12">
        <v>4</v>
      </c>
      <c r="AM57" s="12">
        <v>4</v>
      </c>
      <c r="AN57" s="12">
        <v>4</v>
      </c>
      <c r="AO57" s="12">
        <v>4</v>
      </c>
      <c r="AP57" s="12">
        <v>3</v>
      </c>
      <c r="AQ57" s="12">
        <v>4</v>
      </c>
      <c r="AR57" s="12">
        <v>4</v>
      </c>
      <c r="AS57" s="12">
        <v>4</v>
      </c>
      <c r="AT57" s="12">
        <v>4</v>
      </c>
      <c r="AU57" s="12">
        <v>3</v>
      </c>
      <c r="AV57" s="12">
        <v>3</v>
      </c>
      <c r="AW57" s="12">
        <v>4</v>
      </c>
      <c r="AX57" s="12">
        <v>3</v>
      </c>
      <c r="AY57" s="12">
        <v>3</v>
      </c>
      <c r="AZ57" s="12">
        <v>4</v>
      </c>
      <c r="BA57" s="12">
        <v>3</v>
      </c>
      <c r="BB57" s="12">
        <v>4</v>
      </c>
      <c r="BC57" s="12">
        <v>4</v>
      </c>
      <c r="BD57" s="12" t="s">
        <v>63</v>
      </c>
      <c r="BE57" s="12">
        <f>BD58</f>
        <v>3</v>
      </c>
      <c r="BF57" s="12">
        <f>BD56</f>
        <v>4</v>
      </c>
      <c r="BG57" s="12">
        <f>BD60</f>
        <v>4</v>
      </c>
      <c r="BH57" s="12">
        <f>BD61</f>
        <v>3</v>
      </c>
      <c r="BI57" s="12">
        <f>BD62</f>
        <v>3</v>
      </c>
      <c r="BJ57" s="12">
        <f>BD63</f>
        <v>4</v>
      </c>
      <c r="BK57" s="12">
        <f>BD64</f>
        <v>4</v>
      </c>
      <c r="BL57" s="12">
        <f>BD65</f>
        <v>4</v>
      </c>
      <c r="BM57" s="12">
        <f>BD66</f>
        <v>4</v>
      </c>
      <c r="BN57" s="12">
        <f>BD67</f>
        <v>4</v>
      </c>
      <c r="BO57" s="12">
        <f>BD68</f>
        <v>4</v>
      </c>
      <c r="BP57" s="12">
        <f>BD69</f>
        <v>4</v>
      </c>
      <c r="BQ57" s="12">
        <f>BD70</f>
        <v>3</v>
      </c>
      <c r="BR57" s="12">
        <f>BE70</f>
        <v>1</v>
      </c>
      <c r="BS57" s="12">
        <f>BD72</f>
        <v>4</v>
      </c>
      <c r="BT57" s="12">
        <f>BD73</f>
        <v>3</v>
      </c>
      <c r="BU57" s="12">
        <f>BD74</f>
        <v>1</v>
      </c>
      <c r="BV57" s="12">
        <f>BD75</f>
        <v>4</v>
      </c>
      <c r="BW57" s="12">
        <f>BD76</f>
        <v>4</v>
      </c>
      <c r="BX57" s="12">
        <f>BD77</f>
        <v>4</v>
      </c>
      <c r="BY57" s="12">
        <f>BD78</f>
        <v>3</v>
      </c>
      <c r="BZ57" s="12">
        <f>BD79</f>
        <v>3</v>
      </c>
      <c r="CA57" s="12">
        <f>BD80</f>
        <v>3</v>
      </c>
      <c r="CB57" s="12">
        <f>BD81</f>
        <v>4</v>
      </c>
      <c r="CC57" s="12">
        <f>BD82</f>
        <v>4</v>
      </c>
      <c r="CD57" s="12">
        <f>BD83</f>
        <v>4</v>
      </c>
      <c r="CE57" s="12">
        <f>BD84</f>
        <v>4</v>
      </c>
      <c r="CF57" s="12">
        <f>BD85</f>
        <v>2</v>
      </c>
      <c r="CG57" s="12">
        <f>BD86</f>
        <v>4</v>
      </c>
      <c r="CH57" s="66">
        <f>BD87</f>
        <v>4</v>
      </c>
    </row>
    <row r="58" spans="1:86" ht="12.75" customHeight="1" x14ac:dyDescent="0.25">
      <c r="A58" s="11" t="s">
        <v>816</v>
      </c>
      <c r="B58" s="12">
        <v>2</v>
      </c>
      <c r="C58" s="12">
        <v>2</v>
      </c>
      <c r="D58" s="12">
        <v>2</v>
      </c>
      <c r="E58" s="12">
        <v>1</v>
      </c>
      <c r="F58" s="12">
        <v>2</v>
      </c>
      <c r="G58" s="12">
        <v>2</v>
      </c>
      <c r="H58" s="71">
        <v>3</v>
      </c>
      <c r="I58" s="71">
        <v>1</v>
      </c>
      <c r="J58" s="12">
        <v>1</v>
      </c>
      <c r="K58" s="12">
        <v>2</v>
      </c>
      <c r="L58" s="12">
        <v>2</v>
      </c>
      <c r="M58" s="12">
        <v>2</v>
      </c>
      <c r="N58" s="12">
        <v>1</v>
      </c>
      <c r="O58" s="12">
        <v>3</v>
      </c>
      <c r="P58" s="12">
        <v>2</v>
      </c>
      <c r="Q58" s="12">
        <v>2</v>
      </c>
      <c r="R58" s="12">
        <v>1</v>
      </c>
      <c r="S58" s="12">
        <v>1</v>
      </c>
      <c r="T58" s="12">
        <v>2</v>
      </c>
      <c r="U58" s="12">
        <v>3</v>
      </c>
      <c r="V58" s="12">
        <v>2</v>
      </c>
      <c r="W58" s="12">
        <v>2</v>
      </c>
      <c r="X58" s="12">
        <v>2</v>
      </c>
      <c r="Y58" s="12">
        <v>2</v>
      </c>
      <c r="Z58" s="12">
        <v>2</v>
      </c>
      <c r="AA58" s="12">
        <v>3</v>
      </c>
      <c r="AB58" s="12">
        <v>2</v>
      </c>
      <c r="AC58" s="12">
        <v>3</v>
      </c>
      <c r="AD58" s="12">
        <v>2</v>
      </c>
      <c r="AE58" s="12">
        <v>2</v>
      </c>
      <c r="AF58" s="12">
        <v>1</v>
      </c>
      <c r="AG58" s="12">
        <v>3</v>
      </c>
      <c r="AH58" s="12">
        <v>2</v>
      </c>
      <c r="AI58" s="12">
        <v>2</v>
      </c>
      <c r="AJ58" s="12">
        <v>3</v>
      </c>
      <c r="AK58" s="12">
        <v>1</v>
      </c>
      <c r="AL58" s="12">
        <v>2</v>
      </c>
      <c r="AM58" s="12">
        <v>2</v>
      </c>
      <c r="AN58" s="12">
        <v>2</v>
      </c>
      <c r="AO58" s="12">
        <v>2</v>
      </c>
      <c r="AP58" s="12">
        <v>1</v>
      </c>
      <c r="AQ58" s="12">
        <v>2</v>
      </c>
      <c r="AR58" s="12">
        <v>2</v>
      </c>
      <c r="AS58" s="12">
        <v>2</v>
      </c>
      <c r="AT58" s="12">
        <v>2</v>
      </c>
      <c r="AU58" s="12">
        <v>1</v>
      </c>
      <c r="AV58" s="12">
        <v>1</v>
      </c>
      <c r="AW58" s="12">
        <v>2</v>
      </c>
      <c r="AX58" s="12">
        <v>1</v>
      </c>
      <c r="AY58" s="12">
        <v>3</v>
      </c>
      <c r="AZ58" s="12">
        <v>2</v>
      </c>
      <c r="BA58" s="12">
        <v>1</v>
      </c>
      <c r="BB58" s="12">
        <v>2</v>
      </c>
      <c r="BC58" s="12">
        <v>3</v>
      </c>
      <c r="BD58" s="12">
        <v>3</v>
      </c>
      <c r="BE58" s="12" t="s">
        <v>63</v>
      </c>
      <c r="BF58" s="12">
        <f>BE59</f>
        <v>2</v>
      </c>
      <c r="BG58" s="12">
        <f>BE60</f>
        <v>2</v>
      </c>
      <c r="BH58" s="12">
        <f>BE61</f>
        <v>1</v>
      </c>
      <c r="BI58" s="12">
        <f>BE62</f>
        <v>1</v>
      </c>
      <c r="BJ58" s="12">
        <f>BE63</f>
        <v>2</v>
      </c>
      <c r="BK58" s="12">
        <f>BE64</f>
        <v>2</v>
      </c>
      <c r="BL58" s="12">
        <f>BE65</f>
        <v>3</v>
      </c>
      <c r="BM58" s="12">
        <f>BE66</f>
        <v>2</v>
      </c>
      <c r="BN58" s="12">
        <f>BE67</f>
        <v>3</v>
      </c>
      <c r="BO58" s="12">
        <f>BE68</f>
        <v>2</v>
      </c>
      <c r="BP58" s="12">
        <f>BE69</f>
        <v>2</v>
      </c>
      <c r="BQ58" s="12">
        <f>BE70</f>
        <v>1</v>
      </c>
      <c r="BR58" s="12">
        <f>BE71</f>
        <v>1</v>
      </c>
      <c r="BS58" s="12">
        <f>BG71</f>
        <v>3</v>
      </c>
      <c r="BT58" s="12">
        <f>BE73</f>
        <v>1</v>
      </c>
      <c r="BU58" s="12">
        <f>BE74</f>
        <v>1</v>
      </c>
      <c r="BV58" s="12">
        <f>BE75</f>
        <v>2</v>
      </c>
      <c r="BW58" s="12">
        <f>BE76</f>
        <v>2</v>
      </c>
      <c r="BX58" s="12">
        <f>BE77</f>
        <v>2</v>
      </c>
      <c r="BY58" s="12">
        <f>BE78</f>
        <v>1</v>
      </c>
      <c r="BZ58" s="12">
        <f>BE79</f>
        <v>1</v>
      </c>
      <c r="CA58" s="12">
        <f>BE80</f>
        <v>1</v>
      </c>
      <c r="CB58" s="12">
        <f>BE81</f>
        <v>2</v>
      </c>
      <c r="CC58" s="12">
        <f>BE82</f>
        <v>2</v>
      </c>
      <c r="CD58" s="12">
        <f>BE83</f>
        <v>2</v>
      </c>
      <c r="CE58" s="12">
        <f>BE84</f>
        <v>3</v>
      </c>
      <c r="CF58" s="12">
        <f>BE85</f>
        <v>1</v>
      </c>
      <c r="CG58" s="12">
        <f>BE86</f>
        <v>3</v>
      </c>
      <c r="CH58" s="15">
        <f>BE87</f>
        <v>1</v>
      </c>
    </row>
    <row r="59" spans="1:86" ht="12.75" customHeight="1" x14ac:dyDescent="0.25">
      <c r="A59" s="11" t="s">
        <v>296</v>
      </c>
      <c r="B59" s="12">
        <v>2</v>
      </c>
      <c r="C59" s="12">
        <v>2</v>
      </c>
      <c r="D59" s="12">
        <v>2</v>
      </c>
      <c r="E59" s="12">
        <v>3</v>
      </c>
      <c r="F59" s="12">
        <v>3</v>
      </c>
      <c r="G59" s="12">
        <v>3</v>
      </c>
      <c r="H59" s="71">
        <v>4</v>
      </c>
      <c r="I59" s="71">
        <v>2</v>
      </c>
      <c r="J59" s="12">
        <v>2</v>
      </c>
      <c r="K59" s="12">
        <v>2</v>
      </c>
      <c r="L59" s="12">
        <v>2</v>
      </c>
      <c r="M59" s="12">
        <v>2</v>
      </c>
      <c r="N59" s="12">
        <v>1</v>
      </c>
      <c r="O59" s="12">
        <v>4</v>
      </c>
      <c r="P59" s="12">
        <v>2</v>
      </c>
      <c r="Q59" s="12">
        <v>3</v>
      </c>
      <c r="R59" s="12">
        <v>3</v>
      </c>
      <c r="S59" s="12">
        <v>2</v>
      </c>
      <c r="T59" s="12">
        <v>2</v>
      </c>
      <c r="U59" s="12">
        <v>4</v>
      </c>
      <c r="V59" s="12">
        <v>2</v>
      </c>
      <c r="W59" s="12">
        <v>2</v>
      </c>
      <c r="X59" s="12">
        <v>2</v>
      </c>
      <c r="Y59" s="12">
        <v>2</v>
      </c>
      <c r="Z59" s="12">
        <v>2</v>
      </c>
      <c r="AA59" s="12">
        <v>4</v>
      </c>
      <c r="AB59" s="12">
        <v>2</v>
      </c>
      <c r="AC59" s="12">
        <v>4</v>
      </c>
      <c r="AD59" s="12">
        <v>2</v>
      </c>
      <c r="AE59" s="12">
        <v>2</v>
      </c>
      <c r="AF59" s="12">
        <v>3</v>
      </c>
      <c r="AG59" s="12">
        <v>4</v>
      </c>
      <c r="AH59" s="12">
        <v>3</v>
      </c>
      <c r="AI59" s="12">
        <v>3</v>
      </c>
      <c r="AJ59" s="12">
        <v>3</v>
      </c>
      <c r="AK59" s="12">
        <v>3</v>
      </c>
      <c r="AL59" s="12">
        <v>2</v>
      </c>
      <c r="AM59" s="12">
        <v>2</v>
      </c>
      <c r="AN59" s="12">
        <v>2</v>
      </c>
      <c r="AO59" s="12">
        <v>2</v>
      </c>
      <c r="AP59" s="12">
        <v>2</v>
      </c>
      <c r="AQ59" s="12">
        <v>2</v>
      </c>
      <c r="AR59" s="12">
        <v>2</v>
      </c>
      <c r="AS59" s="12">
        <v>3</v>
      </c>
      <c r="AT59" s="12">
        <v>2</v>
      </c>
      <c r="AU59" s="12">
        <v>2</v>
      </c>
      <c r="AV59" s="12">
        <v>2</v>
      </c>
      <c r="AW59" s="12">
        <v>3</v>
      </c>
      <c r="AX59" s="12">
        <v>2</v>
      </c>
      <c r="AY59" s="12">
        <v>4</v>
      </c>
      <c r="AZ59" s="12">
        <v>3</v>
      </c>
      <c r="BA59" s="12">
        <v>2</v>
      </c>
      <c r="BB59" s="12">
        <v>3</v>
      </c>
      <c r="BC59" s="12">
        <v>4</v>
      </c>
      <c r="BD59" s="12">
        <v>4</v>
      </c>
      <c r="BE59" s="12">
        <v>2</v>
      </c>
      <c r="BF59" s="12" t="s">
        <v>63</v>
      </c>
      <c r="BG59" s="12">
        <f>BF60</f>
        <v>2</v>
      </c>
      <c r="BH59" s="12">
        <f>BF61</f>
        <v>2</v>
      </c>
      <c r="BI59" s="12">
        <f>BF62</f>
        <v>2</v>
      </c>
      <c r="BJ59" s="12">
        <f>BF63</f>
        <v>2</v>
      </c>
      <c r="BK59" s="12">
        <f>BF64</f>
        <v>2</v>
      </c>
      <c r="BL59" s="12">
        <f>BF65</f>
        <v>4</v>
      </c>
      <c r="BM59" s="12">
        <f>BF66</f>
        <v>3</v>
      </c>
      <c r="BN59" s="12">
        <f>BF67</f>
        <v>4</v>
      </c>
      <c r="BO59" s="12">
        <f>BF68</f>
        <v>3</v>
      </c>
      <c r="BP59" s="12">
        <f>BF69</f>
        <v>3</v>
      </c>
      <c r="BQ59" s="12">
        <f>BF70</f>
        <v>2</v>
      </c>
      <c r="BR59" s="12">
        <f>BF71</f>
        <v>3</v>
      </c>
      <c r="BS59" s="12">
        <f>BF72</f>
        <v>2</v>
      </c>
      <c r="BT59" s="12">
        <f>BF73</f>
        <v>2</v>
      </c>
      <c r="BU59" s="12">
        <f>BF74</f>
        <v>2</v>
      </c>
      <c r="BV59" s="12">
        <f>BF75</f>
        <v>3</v>
      </c>
      <c r="BW59" s="12">
        <f>BF76</f>
        <v>2</v>
      </c>
      <c r="BX59" s="12">
        <f>BF77</f>
        <v>2</v>
      </c>
      <c r="BY59" s="12">
        <f>BF78</f>
        <v>2</v>
      </c>
      <c r="BZ59" s="12">
        <f>BF79</f>
        <v>2</v>
      </c>
      <c r="CA59" s="12">
        <f>BF80</f>
        <v>2</v>
      </c>
      <c r="CB59" s="12">
        <f>BF81</f>
        <v>2</v>
      </c>
      <c r="CC59" s="12">
        <f>BF82</f>
        <v>3</v>
      </c>
      <c r="CD59" s="12">
        <f>BF83</f>
        <v>3</v>
      </c>
      <c r="CE59" s="12">
        <f>BF84</f>
        <v>4</v>
      </c>
      <c r="CF59" s="12">
        <f>BF85</f>
        <v>2</v>
      </c>
      <c r="CG59" s="12">
        <f>BF86</f>
        <v>4</v>
      </c>
      <c r="CH59" s="66">
        <f>BF87</f>
        <v>2</v>
      </c>
    </row>
    <row r="60" spans="1:86" ht="12.75" customHeight="1" x14ac:dyDescent="0.25">
      <c r="A60" s="11" t="s">
        <v>181</v>
      </c>
      <c r="B60" s="12">
        <v>2</v>
      </c>
      <c r="C60" s="12">
        <v>2</v>
      </c>
      <c r="D60" s="12">
        <v>2</v>
      </c>
      <c r="E60" s="12">
        <v>3</v>
      </c>
      <c r="F60" s="12">
        <v>3</v>
      </c>
      <c r="G60" s="12">
        <v>3</v>
      </c>
      <c r="H60" s="71">
        <v>4</v>
      </c>
      <c r="I60" s="71">
        <v>2</v>
      </c>
      <c r="J60" s="12">
        <v>2</v>
      </c>
      <c r="K60" s="12">
        <v>2</v>
      </c>
      <c r="L60" s="12">
        <v>2</v>
      </c>
      <c r="M60" s="12">
        <v>2</v>
      </c>
      <c r="N60" s="12">
        <v>1</v>
      </c>
      <c r="O60" s="12">
        <v>4</v>
      </c>
      <c r="P60" s="12">
        <v>2</v>
      </c>
      <c r="Q60" s="12">
        <v>3</v>
      </c>
      <c r="R60" s="12">
        <v>3</v>
      </c>
      <c r="S60" s="12">
        <v>2</v>
      </c>
      <c r="T60" s="12">
        <v>2</v>
      </c>
      <c r="U60" s="12">
        <v>4</v>
      </c>
      <c r="V60" s="12">
        <v>2</v>
      </c>
      <c r="W60" s="12">
        <v>2</v>
      </c>
      <c r="X60" s="12">
        <v>2</v>
      </c>
      <c r="Y60" s="12">
        <v>2</v>
      </c>
      <c r="Z60" s="12">
        <v>2</v>
      </c>
      <c r="AA60" s="12">
        <v>4</v>
      </c>
      <c r="AB60" s="12">
        <v>2</v>
      </c>
      <c r="AC60" s="12">
        <v>4</v>
      </c>
      <c r="AD60" s="12">
        <v>2</v>
      </c>
      <c r="AE60" s="12">
        <v>2</v>
      </c>
      <c r="AF60" s="12">
        <v>3</v>
      </c>
      <c r="AG60" s="12">
        <v>4</v>
      </c>
      <c r="AH60" s="12">
        <v>3</v>
      </c>
      <c r="AI60" s="12">
        <v>3</v>
      </c>
      <c r="AJ60" s="12">
        <v>3</v>
      </c>
      <c r="AK60" s="12">
        <v>3</v>
      </c>
      <c r="AL60" s="12">
        <v>2</v>
      </c>
      <c r="AM60" s="12">
        <v>2</v>
      </c>
      <c r="AN60" s="12">
        <v>2</v>
      </c>
      <c r="AO60" s="12">
        <v>2</v>
      </c>
      <c r="AP60" s="12">
        <v>2</v>
      </c>
      <c r="AQ60" s="12">
        <v>2</v>
      </c>
      <c r="AR60" s="12">
        <v>2</v>
      </c>
      <c r="AS60" s="12">
        <v>3</v>
      </c>
      <c r="AT60" s="12">
        <v>2</v>
      </c>
      <c r="AU60" s="12">
        <v>2</v>
      </c>
      <c r="AV60" s="12">
        <v>2</v>
      </c>
      <c r="AW60" s="12">
        <v>3</v>
      </c>
      <c r="AX60" s="12">
        <v>2</v>
      </c>
      <c r="AY60" s="12">
        <v>4</v>
      </c>
      <c r="AZ60" s="12">
        <v>3</v>
      </c>
      <c r="BA60" s="12">
        <v>2</v>
      </c>
      <c r="BB60" s="12">
        <v>3</v>
      </c>
      <c r="BC60" s="12">
        <v>4</v>
      </c>
      <c r="BD60" s="12">
        <v>4</v>
      </c>
      <c r="BE60" s="12">
        <v>2</v>
      </c>
      <c r="BF60" s="12">
        <v>2</v>
      </c>
      <c r="BG60" s="12" t="s">
        <v>63</v>
      </c>
      <c r="BH60" s="12">
        <f>BG61</f>
        <v>2</v>
      </c>
      <c r="BI60" s="12">
        <f>BG62</f>
        <v>2</v>
      </c>
      <c r="BJ60" s="12">
        <f>BG63</f>
        <v>2</v>
      </c>
      <c r="BK60" s="12">
        <f>BG64</f>
        <v>2</v>
      </c>
      <c r="BL60" s="12">
        <f>BG65</f>
        <v>4</v>
      </c>
      <c r="BM60" s="12">
        <f>BG66</f>
        <v>3</v>
      </c>
      <c r="BN60" s="12">
        <f>BG67</f>
        <v>4</v>
      </c>
      <c r="BO60" s="12">
        <f>BG68</f>
        <v>3</v>
      </c>
      <c r="BP60" s="12">
        <f>BG69</f>
        <v>3</v>
      </c>
      <c r="BQ60" s="12">
        <f>BG70</f>
        <v>2</v>
      </c>
      <c r="BR60" s="12">
        <f>BG71</f>
        <v>3</v>
      </c>
      <c r="BS60" s="12">
        <f>BG72</f>
        <v>2</v>
      </c>
      <c r="BT60" s="12">
        <f>BH72</f>
        <v>3</v>
      </c>
      <c r="BU60" s="12">
        <f>BG74</f>
        <v>2</v>
      </c>
      <c r="BV60" s="12">
        <f>BG75</f>
        <v>3</v>
      </c>
      <c r="BW60" s="12">
        <f>BG76</f>
        <v>2</v>
      </c>
      <c r="BX60" s="12">
        <f>BG77</f>
        <v>2</v>
      </c>
      <c r="BY60" s="12">
        <f>BG78</f>
        <v>2</v>
      </c>
      <c r="BZ60" s="12">
        <f>BG79</f>
        <v>2</v>
      </c>
      <c r="CA60" s="12">
        <f>BG80</f>
        <v>2</v>
      </c>
      <c r="CB60" s="12">
        <f>BG81</f>
        <v>2</v>
      </c>
      <c r="CC60" s="12">
        <f>BG82</f>
        <v>3</v>
      </c>
      <c r="CD60" s="12">
        <f>BG83</f>
        <v>3</v>
      </c>
      <c r="CE60" s="12">
        <f>BG84</f>
        <v>4</v>
      </c>
      <c r="CF60" s="12">
        <f>BG85</f>
        <v>2</v>
      </c>
      <c r="CG60" s="12">
        <f>BG86</f>
        <v>4</v>
      </c>
      <c r="CH60" s="66">
        <f>BG87</f>
        <v>2</v>
      </c>
    </row>
    <row r="61" spans="1:86" ht="12.75" customHeight="1" x14ac:dyDescent="0.25">
      <c r="A61" s="11" t="s">
        <v>21</v>
      </c>
      <c r="B61" s="12">
        <v>2</v>
      </c>
      <c r="C61" s="12">
        <v>2</v>
      </c>
      <c r="D61" s="12">
        <v>2</v>
      </c>
      <c r="E61" s="12">
        <v>2</v>
      </c>
      <c r="F61" s="12">
        <v>3</v>
      </c>
      <c r="G61" s="12">
        <v>1</v>
      </c>
      <c r="H61" s="71">
        <v>3</v>
      </c>
      <c r="I61" s="71">
        <v>2</v>
      </c>
      <c r="J61" s="12">
        <v>2</v>
      </c>
      <c r="K61" s="12">
        <v>2</v>
      </c>
      <c r="L61" s="12">
        <v>2</v>
      </c>
      <c r="M61" s="12">
        <v>2</v>
      </c>
      <c r="N61" s="12">
        <v>1</v>
      </c>
      <c r="O61" s="12">
        <v>3</v>
      </c>
      <c r="P61" s="12">
        <v>2</v>
      </c>
      <c r="Q61" s="12">
        <v>3</v>
      </c>
      <c r="R61" s="12">
        <v>2</v>
      </c>
      <c r="S61" s="12">
        <v>2</v>
      </c>
      <c r="T61" s="12">
        <v>2</v>
      </c>
      <c r="U61" s="12">
        <v>3</v>
      </c>
      <c r="V61" s="12">
        <v>2</v>
      </c>
      <c r="W61" s="12">
        <v>2</v>
      </c>
      <c r="X61" s="12">
        <v>3</v>
      </c>
      <c r="Y61" s="12">
        <v>2</v>
      </c>
      <c r="Z61" s="12">
        <v>2</v>
      </c>
      <c r="AA61" s="12">
        <v>3</v>
      </c>
      <c r="AB61" s="12">
        <v>2</v>
      </c>
      <c r="AC61" s="12">
        <v>3</v>
      </c>
      <c r="AD61" s="12">
        <v>2</v>
      </c>
      <c r="AE61" s="12">
        <v>2</v>
      </c>
      <c r="AF61" s="12">
        <v>2</v>
      </c>
      <c r="AG61" s="12">
        <v>3</v>
      </c>
      <c r="AH61" s="12">
        <v>3</v>
      </c>
      <c r="AI61" s="12">
        <v>3</v>
      </c>
      <c r="AJ61" s="12">
        <v>3</v>
      </c>
      <c r="AK61" s="12">
        <v>2</v>
      </c>
      <c r="AL61" s="12">
        <v>3</v>
      </c>
      <c r="AM61" s="12">
        <v>2</v>
      </c>
      <c r="AN61" s="12">
        <v>2</v>
      </c>
      <c r="AO61" s="12">
        <v>3</v>
      </c>
      <c r="AP61" s="12">
        <v>1</v>
      </c>
      <c r="AQ61" s="12">
        <v>2</v>
      </c>
      <c r="AR61" s="12">
        <v>2</v>
      </c>
      <c r="AS61" s="12">
        <v>3</v>
      </c>
      <c r="AT61" s="12">
        <v>2</v>
      </c>
      <c r="AU61" s="12">
        <v>2</v>
      </c>
      <c r="AV61" s="12">
        <v>2</v>
      </c>
      <c r="AW61" s="12">
        <v>3</v>
      </c>
      <c r="AX61" s="12">
        <v>2</v>
      </c>
      <c r="AY61" s="12">
        <v>3</v>
      </c>
      <c r="AZ61" s="12">
        <v>3</v>
      </c>
      <c r="BA61" s="12">
        <v>2</v>
      </c>
      <c r="BB61" s="12">
        <v>3</v>
      </c>
      <c r="BC61" s="12">
        <v>3</v>
      </c>
      <c r="BD61" s="12">
        <v>3</v>
      </c>
      <c r="BE61" s="12">
        <v>1</v>
      </c>
      <c r="BF61" s="12">
        <v>2</v>
      </c>
      <c r="BG61" s="12">
        <v>2</v>
      </c>
      <c r="BH61" s="12" t="s">
        <v>63</v>
      </c>
      <c r="BI61" s="12">
        <f>BH62</f>
        <v>2</v>
      </c>
      <c r="BJ61" s="12">
        <f>BH63</f>
        <v>2</v>
      </c>
      <c r="BK61" s="12">
        <f>BH64</f>
        <v>2</v>
      </c>
      <c r="BL61" s="12">
        <f>BH65</f>
        <v>3</v>
      </c>
      <c r="BM61" s="12">
        <f>BH66</f>
        <v>3</v>
      </c>
      <c r="BN61" s="12">
        <f>BH67</f>
        <v>3</v>
      </c>
      <c r="BO61" s="12">
        <f>BH68</f>
        <v>3</v>
      </c>
      <c r="BP61" s="12">
        <f>BH69</f>
        <v>3</v>
      </c>
      <c r="BQ61" s="12">
        <f>BH70</f>
        <v>1</v>
      </c>
      <c r="BR61" s="12">
        <f>BH71</f>
        <v>2</v>
      </c>
      <c r="BS61" s="12">
        <f>BH72</f>
        <v>3</v>
      </c>
      <c r="BT61" s="12">
        <f>BH73</f>
        <v>2</v>
      </c>
      <c r="BU61" s="12">
        <f>BI73</f>
        <v>2</v>
      </c>
      <c r="BV61" s="12">
        <f>BH75</f>
        <v>3</v>
      </c>
      <c r="BW61" s="12">
        <f>BH76</f>
        <v>2</v>
      </c>
      <c r="BX61" s="12">
        <f>BH77</f>
        <v>2</v>
      </c>
      <c r="BY61" s="12">
        <f>BH78</f>
        <v>2</v>
      </c>
      <c r="BZ61" s="12">
        <f>BH79</f>
        <v>2</v>
      </c>
      <c r="CA61" s="12">
        <f>BH80</f>
        <v>2</v>
      </c>
      <c r="CB61" s="12">
        <f>BH81</f>
        <v>2</v>
      </c>
      <c r="CC61" s="12">
        <f>BH82</f>
        <v>3</v>
      </c>
      <c r="CD61" s="12">
        <f>BH83</f>
        <v>3</v>
      </c>
      <c r="CE61" s="12">
        <f>BH84</f>
        <v>3</v>
      </c>
      <c r="CF61" s="12">
        <f>BH85</f>
        <v>2</v>
      </c>
      <c r="CG61" s="12">
        <f>BH86</f>
        <v>3</v>
      </c>
      <c r="CH61" s="15">
        <f>BH87</f>
        <v>1</v>
      </c>
    </row>
    <row r="62" spans="1:86" ht="12.75" customHeight="1" x14ac:dyDescent="0.25">
      <c r="A62" s="11" t="s">
        <v>22</v>
      </c>
      <c r="B62" s="12">
        <v>2</v>
      </c>
      <c r="C62" s="12">
        <v>2</v>
      </c>
      <c r="D62" s="12">
        <v>2</v>
      </c>
      <c r="E62" s="12">
        <v>2</v>
      </c>
      <c r="F62" s="12">
        <v>3</v>
      </c>
      <c r="G62" s="12">
        <v>3</v>
      </c>
      <c r="H62" s="71">
        <v>3</v>
      </c>
      <c r="I62" s="71">
        <v>2</v>
      </c>
      <c r="J62" s="12">
        <v>2</v>
      </c>
      <c r="K62" s="12">
        <v>2</v>
      </c>
      <c r="L62" s="12">
        <v>2</v>
      </c>
      <c r="M62" s="12">
        <v>2</v>
      </c>
      <c r="N62" s="12">
        <v>1</v>
      </c>
      <c r="O62" s="12">
        <v>3</v>
      </c>
      <c r="P62" s="12">
        <v>2</v>
      </c>
      <c r="Q62" s="12">
        <v>3</v>
      </c>
      <c r="R62" s="12">
        <v>2</v>
      </c>
      <c r="S62" s="12">
        <v>2</v>
      </c>
      <c r="T62" s="12">
        <v>2</v>
      </c>
      <c r="U62" s="12">
        <v>3</v>
      </c>
      <c r="V62" s="12">
        <v>2</v>
      </c>
      <c r="W62" s="12">
        <v>2</v>
      </c>
      <c r="X62" s="12">
        <v>3</v>
      </c>
      <c r="Y62" s="12">
        <v>2</v>
      </c>
      <c r="Z62" s="12">
        <v>2</v>
      </c>
      <c r="AA62" s="12">
        <v>3</v>
      </c>
      <c r="AB62" s="12">
        <v>2</v>
      </c>
      <c r="AC62" s="12">
        <v>3</v>
      </c>
      <c r="AD62" s="12">
        <v>2</v>
      </c>
      <c r="AE62" s="12">
        <v>2</v>
      </c>
      <c r="AF62" s="12">
        <v>2</v>
      </c>
      <c r="AG62" s="12">
        <v>3</v>
      </c>
      <c r="AH62" s="12">
        <v>3</v>
      </c>
      <c r="AI62" s="12">
        <v>3</v>
      </c>
      <c r="AJ62" s="12">
        <v>3</v>
      </c>
      <c r="AK62" s="12">
        <v>2</v>
      </c>
      <c r="AL62" s="12">
        <v>3</v>
      </c>
      <c r="AM62" s="12">
        <v>2</v>
      </c>
      <c r="AN62" s="12">
        <v>2</v>
      </c>
      <c r="AO62" s="12">
        <v>3</v>
      </c>
      <c r="AP62" s="12">
        <v>2</v>
      </c>
      <c r="AQ62" s="12">
        <v>2</v>
      </c>
      <c r="AR62" s="12">
        <v>2</v>
      </c>
      <c r="AS62" s="12">
        <v>3</v>
      </c>
      <c r="AT62" s="12">
        <v>2</v>
      </c>
      <c r="AU62" s="12">
        <v>1</v>
      </c>
      <c r="AV62" s="12">
        <v>1</v>
      </c>
      <c r="AW62" s="12">
        <v>3</v>
      </c>
      <c r="AX62" s="12">
        <v>1</v>
      </c>
      <c r="AY62" s="12">
        <v>3</v>
      </c>
      <c r="AZ62" s="12">
        <v>3</v>
      </c>
      <c r="BA62" s="12">
        <v>2</v>
      </c>
      <c r="BB62" s="12">
        <v>3</v>
      </c>
      <c r="BC62" s="12">
        <v>3</v>
      </c>
      <c r="BD62" s="12">
        <v>3</v>
      </c>
      <c r="BE62" s="12">
        <v>1</v>
      </c>
      <c r="BF62" s="12">
        <v>2</v>
      </c>
      <c r="BG62" s="12">
        <v>2</v>
      </c>
      <c r="BH62" s="12">
        <v>2</v>
      </c>
      <c r="BI62" s="12" t="s">
        <v>63</v>
      </c>
      <c r="BJ62" s="12">
        <f>BI63</f>
        <v>2</v>
      </c>
      <c r="BK62" s="12">
        <f>BI64</f>
        <v>2</v>
      </c>
      <c r="BL62" s="12">
        <f>BI65</f>
        <v>3</v>
      </c>
      <c r="BM62" s="12">
        <f>BI66</f>
        <v>3</v>
      </c>
      <c r="BN62" s="12">
        <f>BI67</f>
        <v>3</v>
      </c>
      <c r="BO62" s="12">
        <f>BI68</f>
        <v>3</v>
      </c>
      <c r="BP62" s="12">
        <f>BI69</f>
        <v>3</v>
      </c>
      <c r="BQ62" s="12">
        <f>BI70</f>
        <v>2</v>
      </c>
      <c r="BR62" s="12">
        <f>BI71</f>
        <v>2</v>
      </c>
      <c r="BS62" s="12">
        <f>BI72</f>
        <v>3</v>
      </c>
      <c r="BT62" s="12">
        <f>BI73</f>
        <v>2</v>
      </c>
      <c r="BU62" s="12">
        <f>BI74</f>
        <v>2</v>
      </c>
      <c r="BV62" s="12">
        <f>BJ74</f>
        <v>2</v>
      </c>
      <c r="BW62" s="12">
        <f>BI76</f>
        <v>2</v>
      </c>
      <c r="BX62" s="12">
        <f>BI77</f>
        <v>2</v>
      </c>
      <c r="BY62" s="12">
        <f>BI78</f>
        <v>2</v>
      </c>
      <c r="BZ62" s="12">
        <f>BI79</f>
        <v>2</v>
      </c>
      <c r="CA62" s="12">
        <f>BI80</f>
        <v>2</v>
      </c>
      <c r="CB62" s="12">
        <f>BI81</f>
        <v>2</v>
      </c>
      <c r="CC62" s="12">
        <f>BI82</f>
        <v>3</v>
      </c>
      <c r="CD62" s="12">
        <f>BI83</f>
        <v>3</v>
      </c>
      <c r="CE62" s="12">
        <f>BI84</f>
        <v>3</v>
      </c>
      <c r="CF62" s="12">
        <f>BI85</f>
        <v>2</v>
      </c>
      <c r="CG62" s="12">
        <f>BI86</f>
        <v>3</v>
      </c>
      <c r="CH62" s="66">
        <f>BI87</f>
        <v>3</v>
      </c>
    </row>
    <row r="63" spans="1:86" ht="12.75" customHeight="1" x14ac:dyDescent="0.25">
      <c r="A63" s="11" t="s">
        <v>292</v>
      </c>
      <c r="B63" s="12">
        <v>2</v>
      </c>
      <c r="C63" s="12">
        <v>2</v>
      </c>
      <c r="D63" s="12">
        <v>2</v>
      </c>
      <c r="E63" s="12">
        <v>3</v>
      </c>
      <c r="F63" s="12">
        <v>3</v>
      </c>
      <c r="G63" s="12">
        <v>3</v>
      </c>
      <c r="H63" s="71">
        <v>4</v>
      </c>
      <c r="I63" s="71">
        <v>2</v>
      </c>
      <c r="J63" s="12">
        <v>2</v>
      </c>
      <c r="K63" s="12">
        <v>2</v>
      </c>
      <c r="L63" s="12">
        <v>2</v>
      </c>
      <c r="M63" s="12">
        <v>2</v>
      </c>
      <c r="N63" s="12">
        <v>1</v>
      </c>
      <c r="O63" s="12">
        <v>4</v>
      </c>
      <c r="P63" s="12">
        <v>2</v>
      </c>
      <c r="Q63" s="12">
        <v>3</v>
      </c>
      <c r="R63" s="12">
        <v>3</v>
      </c>
      <c r="S63" s="12">
        <v>2</v>
      </c>
      <c r="T63" s="12">
        <v>2</v>
      </c>
      <c r="U63" s="12">
        <v>4</v>
      </c>
      <c r="V63" s="12">
        <v>2</v>
      </c>
      <c r="W63" s="12">
        <v>2</v>
      </c>
      <c r="X63" s="12">
        <v>2</v>
      </c>
      <c r="Y63" s="12">
        <v>2</v>
      </c>
      <c r="Z63" s="12">
        <v>2</v>
      </c>
      <c r="AA63" s="12">
        <v>4</v>
      </c>
      <c r="AB63" s="12">
        <v>2</v>
      </c>
      <c r="AC63" s="12">
        <v>4</v>
      </c>
      <c r="AD63" s="12">
        <v>2</v>
      </c>
      <c r="AE63" s="12">
        <v>2</v>
      </c>
      <c r="AF63" s="12">
        <v>3</v>
      </c>
      <c r="AG63" s="12">
        <v>4</v>
      </c>
      <c r="AH63" s="12">
        <v>3</v>
      </c>
      <c r="AI63" s="12">
        <v>3</v>
      </c>
      <c r="AJ63" s="12">
        <v>3</v>
      </c>
      <c r="AK63" s="12">
        <v>3</v>
      </c>
      <c r="AL63" s="12">
        <v>2</v>
      </c>
      <c r="AM63" s="12">
        <v>2</v>
      </c>
      <c r="AN63" s="12">
        <v>2</v>
      </c>
      <c r="AO63" s="12">
        <v>2</v>
      </c>
      <c r="AP63" s="12">
        <v>2</v>
      </c>
      <c r="AQ63" s="12">
        <v>2</v>
      </c>
      <c r="AR63" s="12">
        <v>2</v>
      </c>
      <c r="AS63" s="12">
        <v>3</v>
      </c>
      <c r="AT63" s="12">
        <v>2</v>
      </c>
      <c r="AU63" s="12">
        <v>2</v>
      </c>
      <c r="AV63" s="12">
        <v>2</v>
      </c>
      <c r="AW63" s="12">
        <v>3</v>
      </c>
      <c r="AX63" s="12">
        <v>2</v>
      </c>
      <c r="AY63" s="12">
        <v>4</v>
      </c>
      <c r="AZ63" s="12">
        <v>3</v>
      </c>
      <c r="BA63" s="12">
        <v>2</v>
      </c>
      <c r="BB63" s="12">
        <v>3</v>
      </c>
      <c r="BC63" s="12">
        <v>4</v>
      </c>
      <c r="BD63" s="12">
        <v>4</v>
      </c>
      <c r="BE63" s="12">
        <v>2</v>
      </c>
      <c r="BF63" s="12">
        <v>2</v>
      </c>
      <c r="BG63" s="12">
        <v>2</v>
      </c>
      <c r="BH63" s="12">
        <v>2</v>
      </c>
      <c r="BI63" s="12">
        <v>2</v>
      </c>
      <c r="BJ63" s="12" t="s">
        <v>63</v>
      </c>
      <c r="BK63" s="12">
        <f>BJ64</f>
        <v>2</v>
      </c>
      <c r="BL63" s="12">
        <f>BJ65</f>
        <v>4</v>
      </c>
      <c r="BM63" s="12">
        <f>BJ66</f>
        <v>3</v>
      </c>
      <c r="BN63" s="12">
        <f>BJ67</f>
        <v>4</v>
      </c>
      <c r="BO63" s="12">
        <f>BJ68</f>
        <v>3</v>
      </c>
      <c r="BP63" s="12">
        <f>BJ69</f>
        <v>3</v>
      </c>
      <c r="BQ63" s="12">
        <f>BJ70</f>
        <v>2</v>
      </c>
      <c r="BR63" s="12">
        <f>BJ71</f>
        <v>3</v>
      </c>
      <c r="BS63" s="12">
        <f>BJ72</f>
        <v>2</v>
      </c>
      <c r="BT63" s="12">
        <f>BJ73</f>
        <v>2</v>
      </c>
      <c r="BU63" s="12">
        <f>BJ74</f>
        <v>2</v>
      </c>
      <c r="BV63" s="12">
        <f>BJ75</f>
        <v>3</v>
      </c>
      <c r="BW63" s="12">
        <f>BK75</f>
        <v>3</v>
      </c>
      <c r="BX63" s="12">
        <f>BJ77</f>
        <v>2</v>
      </c>
      <c r="BY63" s="12">
        <f>BJ78</f>
        <v>2</v>
      </c>
      <c r="BZ63" s="12">
        <f>BJ79</f>
        <v>2</v>
      </c>
      <c r="CA63" s="12">
        <f>BJ80</f>
        <v>2</v>
      </c>
      <c r="CB63" s="12">
        <f>BJ81</f>
        <v>2</v>
      </c>
      <c r="CC63" s="12">
        <f>BJ82</f>
        <v>3</v>
      </c>
      <c r="CD63" s="12">
        <f>BJ83</f>
        <v>3</v>
      </c>
      <c r="CE63" s="12">
        <f>BJ84</f>
        <v>4</v>
      </c>
      <c r="CF63" s="12">
        <f>BJ85</f>
        <v>2</v>
      </c>
      <c r="CG63" s="12">
        <f>BJ86</f>
        <v>4</v>
      </c>
      <c r="CH63" s="66">
        <f>BJ87</f>
        <v>2</v>
      </c>
    </row>
    <row r="64" spans="1:86" ht="12.75" customHeight="1" x14ac:dyDescent="0.25">
      <c r="A64" s="11" t="s">
        <v>76</v>
      </c>
      <c r="B64" s="12">
        <v>2</v>
      </c>
      <c r="C64" s="12">
        <v>2</v>
      </c>
      <c r="D64" s="12">
        <v>2</v>
      </c>
      <c r="E64" s="12">
        <v>3</v>
      </c>
      <c r="F64" s="12">
        <v>3</v>
      </c>
      <c r="G64" s="12">
        <v>3</v>
      </c>
      <c r="H64" s="71">
        <v>4</v>
      </c>
      <c r="I64" s="71">
        <v>2</v>
      </c>
      <c r="J64" s="12">
        <v>2</v>
      </c>
      <c r="K64" s="12">
        <v>2</v>
      </c>
      <c r="L64" s="12">
        <v>2</v>
      </c>
      <c r="M64" s="12">
        <v>2</v>
      </c>
      <c r="N64" s="12">
        <v>1</v>
      </c>
      <c r="O64" s="12">
        <v>4</v>
      </c>
      <c r="P64" s="12">
        <v>2</v>
      </c>
      <c r="Q64" s="12">
        <v>3</v>
      </c>
      <c r="R64" s="12">
        <v>3</v>
      </c>
      <c r="S64" s="12">
        <v>2</v>
      </c>
      <c r="T64" s="12">
        <v>2</v>
      </c>
      <c r="U64" s="12">
        <v>4</v>
      </c>
      <c r="V64" s="12">
        <v>2</v>
      </c>
      <c r="W64" s="12">
        <v>2</v>
      </c>
      <c r="X64" s="12">
        <v>2</v>
      </c>
      <c r="Y64" s="12">
        <v>2</v>
      </c>
      <c r="Z64" s="12">
        <v>2</v>
      </c>
      <c r="AA64" s="12">
        <v>4</v>
      </c>
      <c r="AB64" s="12">
        <v>2</v>
      </c>
      <c r="AC64" s="12">
        <v>4</v>
      </c>
      <c r="AD64" s="12">
        <v>2</v>
      </c>
      <c r="AE64" s="12">
        <v>2</v>
      </c>
      <c r="AF64" s="12">
        <v>3</v>
      </c>
      <c r="AG64" s="12">
        <v>4</v>
      </c>
      <c r="AH64" s="12">
        <v>3</v>
      </c>
      <c r="AI64" s="12">
        <v>3</v>
      </c>
      <c r="AJ64" s="12">
        <v>3</v>
      </c>
      <c r="AK64" s="12">
        <v>3</v>
      </c>
      <c r="AL64" s="12">
        <v>2</v>
      </c>
      <c r="AM64" s="12">
        <v>2</v>
      </c>
      <c r="AN64" s="12">
        <v>2</v>
      </c>
      <c r="AO64" s="12">
        <v>2</v>
      </c>
      <c r="AP64" s="12">
        <v>2</v>
      </c>
      <c r="AQ64" s="12">
        <v>2</v>
      </c>
      <c r="AR64" s="12">
        <v>2</v>
      </c>
      <c r="AS64" s="12">
        <v>3</v>
      </c>
      <c r="AT64" s="12">
        <v>2</v>
      </c>
      <c r="AU64" s="12">
        <v>2</v>
      </c>
      <c r="AV64" s="12">
        <v>2</v>
      </c>
      <c r="AW64" s="12">
        <v>3</v>
      </c>
      <c r="AX64" s="12">
        <v>2</v>
      </c>
      <c r="AY64" s="12">
        <v>4</v>
      </c>
      <c r="AZ64" s="12">
        <v>3</v>
      </c>
      <c r="BA64" s="12">
        <v>2</v>
      </c>
      <c r="BB64" s="12">
        <v>3</v>
      </c>
      <c r="BC64" s="12">
        <v>4</v>
      </c>
      <c r="BD64" s="12">
        <v>4</v>
      </c>
      <c r="BE64" s="12">
        <v>2</v>
      </c>
      <c r="BF64" s="12">
        <v>2</v>
      </c>
      <c r="BG64" s="12">
        <v>2</v>
      </c>
      <c r="BH64" s="12">
        <v>2</v>
      </c>
      <c r="BI64" s="12">
        <v>2</v>
      </c>
      <c r="BJ64" s="12">
        <v>2</v>
      </c>
      <c r="BK64" s="12" t="s">
        <v>63</v>
      </c>
      <c r="BL64" s="12">
        <f>BK65</f>
        <v>4</v>
      </c>
      <c r="BM64" s="12">
        <f>BK66</f>
        <v>3</v>
      </c>
      <c r="BN64" s="12">
        <f>BK67</f>
        <v>4</v>
      </c>
      <c r="BO64" s="12">
        <f>BK68</f>
        <v>3</v>
      </c>
      <c r="BP64" s="12">
        <f>BK69</f>
        <v>3</v>
      </c>
      <c r="BQ64" s="12">
        <f>BK70</f>
        <v>2</v>
      </c>
      <c r="BR64" s="12">
        <f>BK71</f>
        <v>3</v>
      </c>
      <c r="BS64" s="12">
        <f>BK72</f>
        <v>2</v>
      </c>
      <c r="BT64" s="12">
        <f>BK73</f>
        <v>2</v>
      </c>
      <c r="BU64" s="12">
        <f>BK74</f>
        <v>2</v>
      </c>
      <c r="BV64" s="12">
        <f>BK75</f>
        <v>3</v>
      </c>
      <c r="BW64" s="12">
        <f>BK76</f>
        <v>2</v>
      </c>
      <c r="BX64" s="12">
        <f>BL76</f>
        <v>4</v>
      </c>
      <c r="BY64" s="12">
        <f>BK78</f>
        <v>2</v>
      </c>
      <c r="BZ64" s="12">
        <f>BK79</f>
        <v>2</v>
      </c>
      <c r="CA64" s="12">
        <f>BK80</f>
        <v>2</v>
      </c>
      <c r="CB64" s="12">
        <f>BK81</f>
        <v>2</v>
      </c>
      <c r="CC64" s="12">
        <f>BK82</f>
        <v>3</v>
      </c>
      <c r="CD64" s="12">
        <f>BK83</f>
        <v>3</v>
      </c>
      <c r="CE64" s="12">
        <f>BK84</f>
        <v>4</v>
      </c>
      <c r="CF64" s="12">
        <f>BK85</f>
        <v>2</v>
      </c>
      <c r="CG64" s="12">
        <f>BK86</f>
        <v>4</v>
      </c>
      <c r="CH64" s="15">
        <f>BK87</f>
        <v>2</v>
      </c>
    </row>
    <row r="65" spans="1:86" ht="12.75" customHeight="1" x14ac:dyDescent="0.25">
      <c r="A65" s="11" t="s">
        <v>53</v>
      </c>
      <c r="B65" s="12">
        <v>4</v>
      </c>
      <c r="C65" s="12">
        <v>4</v>
      </c>
      <c r="D65" s="12">
        <v>4</v>
      </c>
      <c r="E65" s="12">
        <v>4</v>
      </c>
      <c r="F65" s="12">
        <v>4</v>
      </c>
      <c r="G65" s="12">
        <v>4</v>
      </c>
      <c r="H65" s="71">
        <v>4</v>
      </c>
      <c r="I65" s="71">
        <v>3</v>
      </c>
      <c r="J65" s="12">
        <v>3</v>
      </c>
      <c r="K65" s="12">
        <v>4</v>
      </c>
      <c r="L65" s="12">
        <v>4</v>
      </c>
      <c r="M65" s="12">
        <v>4</v>
      </c>
      <c r="N65" s="12">
        <v>3</v>
      </c>
      <c r="O65" s="12">
        <v>4</v>
      </c>
      <c r="P65" s="12">
        <v>4</v>
      </c>
      <c r="Q65" s="12">
        <v>4</v>
      </c>
      <c r="R65" s="12">
        <v>4</v>
      </c>
      <c r="S65" s="12">
        <v>3</v>
      </c>
      <c r="T65" s="12">
        <v>4</v>
      </c>
      <c r="U65" s="12">
        <v>4</v>
      </c>
      <c r="V65" s="12">
        <v>4</v>
      </c>
      <c r="W65" s="12">
        <v>4</v>
      </c>
      <c r="X65" s="12">
        <v>4</v>
      </c>
      <c r="Y65" s="12">
        <v>4</v>
      </c>
      <c r="Z65" s="12">
        <v>4</v>
      </c>
      <c r="AA65" s="12">
        <v>4</v>
      </c>
      <c r="AB65" s="12">
        <v>4</v>
      </c>
      <c r="AC65" s="12">
        <v>4</v>
      </c>
      <c r="AD65" s="12">
        <v>4</v>
      </c>
      <c r="AE65" s="12">
        <v>4</v>
      </c>
      <c r="AF65" s="12">
        <v>4</v>
      </c>
      <c r="AG65" s="12">
        <v>4</v>
      </c>
      <c r="AH65" s="12">
        <v>4</v>
      </c>
      <c r="AI65" s="12">
        <v>4</v>
      </c>
      <c r="AJ65" s="12">
        <v>4</v>
      </c>
      <c r="AK65" s="12">
        <v>3</v>
      </c>
      <c r="AL65" s="12">
        <v>4</v>
      </c>
      <c r="AM65" s="12">
        <v>4</v>
      </c>
      <c r="AN65" s="12">
        <v>4</v>
      </c>
      <c r="AO65" s="12">
        <v>4</v>
      </c>
      <c r="AP65" s="12">
        <v>3</v>
      </c>
      <c r="AQ65" s="12">
        <v>4</v>
      </c>
      <c r="AR65" s="12">
        <v>4</v>
      </c>
      <c r="AS65" s="12">
        <v>4</v>
      </c>
      <c r="AT65" s="12">
        <v>4</v>
      </c>
      <c r="AU65" s="12">
        <v>3</v>
      </c>
      <c r="AV65" s="12">
        <v>3</v>
      </c>
      <c r="AW65" s="12">
        <v>4</v>
      </c>
      <c r="AX65" s="12">
        <v>3</v>
      </c>
      <c r="AY65" s="12">
        <v>4</v>
      </c>
      <c r="AZ65" s="12">
        <v>4</v>
      </c>
      <c r="BA65" s="12">
        <v>3</v>
      </c>
      <c r="BB65" s="12">
        <v>4</v>
      </c>
      <c r="BC65" s="12">
        <v>4</v>
      </c>
      <c r="BD65" s="12">
        <v>4</v>
      </c>
      <c r="BE65" s="12">
        <v>3</v>
      </c>
      <c r="BF65" s="12">
        <v>4</v>
      </c>
      <c r="BG65" s="12">
        <v>4</v>
      </c>
      <c r="BH65" s="12">
        <v>3</v>
      </c>
      <c r="BI65" s="12">
        <v>3</v>
      </c>
      <c r="BJ65" s="12">
        <v>4</v>
      </c>
      <c r="BK65" s="12">
        <v>4</v>
      </c>
      <c r="BL65" s="12" t="s">
        <v>63</v>
      </c>
      <c r="BM65" s="12">
        <f>BL66</f>
        <v>4</v>
      </c>
      <c r="BN65" s="12">
        <f>BL67</f>
        <v>4</v>
      </c>
      <c r="BO65" s="12">
        <f>BL68</f>
        <v>4</v>
      </c>
      <c r="BP65" s="12">
        <f>BL69</f>
        <v>4</v>
      </c>
      <c r="BQ65" s="12">
        <f>BL70</f>
        <v>3</v>
      </c>
      <c r="BR65" s="12">
        <f>BL71</f>
        <v>4</v>
      </c>
      <c r="BS65" s="12">
        <f>BL72</f>
        <v>4</v>
      </c>
      <c r="BT65" s="12">
        <f>BL73</f>
        <v>3</v>
      </c>
      <c r="BU65" s="12">
        <f>BL74</f>
        <v>3</v>
      </c>
      <c r="BV65" s="12">
        <f>BL75</f>
        <v>4</v>
      </c>
      <c r="BW65" s="12">
        <f>BL76</f>
        <v>4</v>
      </c>
      <c r="BX65" s="12">
        <f>BL77</f>
        <v>4</v>
      </c>
      <c r="BY65" s="12">
        <f>BM77</f>
        <v>3</v>
      </c>
      <c r="BZ65" s="12">
        <f>BL79</f>
        <v>3</v>
      </c>
      <c r="CA65" s="12">
        <f>BL80</f>
        <v>2</v>
      </c>
      <c r="CB65" s="12">
        <f>BL81</f>
        <v>4</v>
      </c>
      <c r="CC65" s="12">
        <f>BL82</f>
        <v>4</v>
      </c>
      <c r="CD65" s="12">
        <f>BL83</f>
        <v>4</v>
      </c>
      <c r="CE65" s="12">
        <f>BL84</f>
        <v>4</v>
      </c>
      <c r="CF65" s="12">
        <f>BL85</f>
        <v>3</v>
      </c>
      <c r="CG65" s="12">
        <f>BL86</f>
        <v>4</v>
      </c>
      <c r="CH65" s="66">
        <f>BL87</f>
        <v>4</v>
      </c>
    </row>
    <row r="66" spans="1:86" ht="12.75" customHeight="1" x14ac:dyDescent="0.25">
      <c r="A66" s="11" t="s">
        <v>23</v>
      </c>
      <c r="B66" s="12">
        <v>3</v>
      </c>
      <c r="C66" s="12">
        <v>3</v>
      </c>
      <c r="D66" s="12">
        <v>3</v>
      </c>
      <c r="E66" s="12">
        <v>4</v>
      </c>
      <c r="F66" s="12">
        <v>4</v>
      </c>
      <c r="G66" s="12">
        <v>4</v>
      </c>
      <c r="H66" s="71">
        <v>4</v>
      </c>
      <c r="I66" s="71">
        <v>3</v>
      </c>
      <c r="J66" s="12">
        <v>3</v>
      </c>
      <c r="K66" s="12">
        <v>3</v>
      </c>
      <c r="L66" s="12">
        <v>3</v>
      </c>
      <c r="M66" s="12">
        <v>3</v>
      </c>
      <c r="N66" s="12">
        <v>2</v>
      </c>
      <c r="O66" s="12">
        <v>4</v>
      </c>
      <c r="P66" s="12">
        <v>3</v>
      </c>
      <c r="Q66" s="12">
        <v>2</v>
      </c>
      <c r="R66" s="12">
        <v>4</v>
      </c>
      <c r="S66" s="12">
        <v>3</v>
      </c>
      <c r="T66" s="12">
        <v>3</v>
      </c>
      <c r="U66" s="12">
        <v>4</v>
      </c>
      <c r="V66" s="12">
        <v>3</v>
      </c>
      <c r="W66" s="12">
        <v>3</v>
      </c>
      <c r="X66" s="12">
        <v>4</v>
      </c>
      <c r="Y66" s="12">
        <v>3</v>
      </c>
      <c r="Z66" s="12">
        <v>3</v>
      </c>
      <c r="AA66" s="12">
        <v>4</v>
      </c>
      <c r="AB66" s="12">
        <v>3</v>
      </c>
      <c r="AC66" s="12">
        <v>4</v>
      </c>
      <c r="AD66" s="12">
        <v>3</v>
      </c>
      <c r="AE66" s="12">
        <v>3</v>
      </c>
      <c r="AF66" s="12">
        <v>4</v>
      </c>
      <c r="AG66" s="12">
        <v>4</v>
      </c>
      <c r="AH66" s="12">
        <v>4</v>
      </c>
      <c r="AI66" s="12">
        <v>4</v>
      </c>
      <c r="AJ66" s="12">
        <v>2</v>
      </c>
      <c r="AK66" s="12">
        <v>1</v>
      </c>
      <c r="AL66" s="12">
        <v>4</v>
      </c>
      <c r="AM66" s="12">
        <v>3</v>
      </c>
      <c r="AN66" s="12">
        <v>3</v>
      </c>
      <c r="AO66" s="12">
        <v>4</v>
      </c>
      <c r="AP66" s="12">
        <v>2</v>
      </c>
      <c r="AQ66" s="12">
        <v>3</v>
      </c>
      <c r="AR66" s="12">
        <v>3</v>
      </c>
      <c r="AS66" s="12">
        <v>4</v>
      </c>
      <c r="AT66" s="12">
        <v>3</v>
      </c>
      <c r="AU66" s="12">
        <v>3</v>
      </c>
      <c r="AV66" s="12">
        <v>3</v>
      </c>
      <c r="AW66" s="12">
        <v>4</v>
      </c>
      <c r="AX66" s="12">
        <v>1</v>
      </c>
      <c r="AY66" s="12">
        <v>4</v>
      </c>
      <c r="AZ66" s="12">
        <v>4</v>
      </c>
      <c r="BA66" s="12">
        <v>3</v>
      </c>
      <c r="BB66" s="12">
        <v>2</v>
      </c>
      <c r="BC66" s="12">
        <v>4</v>
      </c>
      <c r="BD66" s="12">
        <v>4</v>
      </c>
      <c r="BE66" s="12">
        <v>2</v>
      </c>
      <c r="BF66" s="12">
        <v>3</v>
      </c>
      <c r="BG66" s="12">
        <v>3</v>
      </c>
      <c r="BH66" s="12">
        <v>3</v>
      </c>
      <c r="BI66" s="12">
        <v>3</v>
      </c>
      <c r="BJ66" s="12">
        <v>3</v>
      </c>
      <c r="BK66" s="12">
        <v>3</v>
      </c>
      <c r="BL66" s="12">
        <v>4</v>
      </c>
      <c r="BM66" s="12" t="s">
        <v>63</v>
      </c>
      <c r="BN66" s="12">
        <f>BM67</f>
        <v>4</v>
      </c>
      <c r="BO66" s="12">
        <f>BM68</f>
        <v>4</v>
      </c>
      <c r="BP66" s="12">
        <f>BM69</f>
        <v>4</v>
      </c>
      <c r="BQ66" s="12">
        <f>BM70</f>
        <v>3</v>
      </c>
      <c r="BR66" s="12">
        <f>BM71</f>
        <v>4</v>
      </c>
      <c r="BS66" s="12">
        <f>BM72</f>
        <v>4</v>
      </c>
      <c r="BT66" s="12">
        <f>BM73</f>
        <v>3</v>
      </c>
      <c r="BU66" s="12">
        <f>BM74</f>
        <v>3</v>
      </c>
      <c r="BV66" s="12">
        <f>BM75</f>
        <v>4</v>
      </c>
      <c r="BW66" s="12">
        <f>BM76</f>
        <v>3</v>
      </c>
      <c r="BX66" s="12">
        <f>BM77</f>
        <v>3</v>
      </c>
      <c r="BY66" s="12">
        <f>BM78</f>
        <v>3</v>
      </c>
      <c r="BZ66" s="12">
        <f>BN78</f>
        <v>3</v>
      </c>
      <c r="CA66" s="12">
        <f>BM80</f>
        <v>3</v>
      </c>
      <c r="CB66" s="12">
        <f>BM81</f>
        <v>3</v>
      </c>
      <c r="CC66" s="12">
        <f>BM82</f>
        <v>4</v>
      </c>
      <c r="CD66" s="12">
        <f>BM83</f>
        <v>4</v>
      </c>
      <c r="CE66" s="12">
        <f>BM84</f>
        <v>4</v>
      </c>
      <c r="CF66" s="12">
        <f>BM85</f>
        <v>3</v>
      </c>
      <c r="CG66" s="12">
        <f>BM86</f>
        <v>4</v>
      </c>
      <c r="CH66" s="66">
        <f>BM87</f>
        <v>4</v>
      </c>
    </row>
    <row r="67" spans="1:86" ht="12.75" customHeight="1" x14ac:dyDescent="0.25">
      <c r="A67" s="11" t="s">
        <v>69</v>
      </c>
      <c r="B67" s="12">
        <v>4</v>
      </c>
      <c r="C67" s="12">
        <v>4</v>
      </c>
      <c r="D67" s="12">
        <v>4</v>
      </c>
      <c r="E67" s="12">
        <v>4</v>
      </c>
      <c r="F67" s="12">
        <v>4</v>
      </c>
      <c r="G67" s="12">
        <v>4</v>
      </c>
      <c r="H67" s="71">
        <v>3</v>
      </c>
      <c r="I67" s="71">
        <v>3</v>
      </c>
      <c r="J67" s="12">
        <v>3</v>
      </c>
      <c r="K67" s="12">
        <v>4</v>
      </c>
      <c r="L67" s="12">
        <v>4</v>
      </c>
      <c r="M67" s="12">
        <v>4</v>
      </c>
      <c r="N67" s="12">
        <v>3</v>
      </c>
      <c r="O67" s="12">
        <v>4</v>
      </c>
      <c r="P67" s="12">
        <v>4</v>
      </c>
      <c r="Q67" s="12">
        <v>4</v>
      </c>
      <c r="R67" s="12">
        <v>4</v>
      </c>
      <c r="S67" s="12">
        <v>3</v>
      </c>
      <c r="T67" s="12">
        <v>4</v>
      </c>
      <c r="U67" s="12">
        <v>4</v>
      </c>
      <c r="V67" s="12">
        <v>4</v>
      </c>
      <c r="W67" s="12">
        <v>4</v>
      </c>
      <c r="X67" s="12">
        <v>4</v>
      </c>
      <c r="Y67" s="12">
        <v>4</v>
      </c>
      <c r="Z67" s="12">
        <v>4</v>
      </c>
      <c r="AA67" s="12">
        <v>4</v>
      </c>
      <c r="AB67" s="12">
        <v>4</v>
      </c>
      <c r="AC67" s="12">
        <v>4</v>
      </c>
      <c r="AD67" s="12">
        <v>4</v>
      </c>
      <c r="AE67" s="12">
        <v>4</v>
      </c>
      <c r="AF67" s="12">
        <v>4</v>
      </c>
      <c r="AG67" s="12">
        <v>4</v>
      </c>
      <c r="AH67" s="12">
        <v>4</v>
      </c>
      <c r="AI67" s="12">
        <v>4</v>
      </c>
      <c r="AJ67" s="12">
        <v>4</v>
      </c>
      <c r="AK67" s="12">
        <v>3</v>
      </c>
      <c r="AL67" s="12">
        <v>4</v>
      </c>
      <c r="AM67" s="12">
        <v>4</v>
      </c>
      <c r="AN67" s="12">
        <v>4</v>
      </c>
      <c r="AO67" s="12">
        <v>4</v>
      </c>
      <c r="AP67" s="12">
        <v>3</v>
      </c>
      <c r="AQ67" s="12">
        <v>4</v>
      </c>
      <c r="AR67" s="12">
        <v>4</v>
      </c>
      <c r="AS67" s="12">
        <v>4</v>
      </c>
      <c r="AT67" s="12">
        <v>4</v>
      </c>
      <c r="AU67" s="12">
        <v>3</v>
      </c>
      <c r="AV67" s="12">
        <v>3</v>
      </c>
      <c r="AW67" s="12">
        <v>4</v>
      </c>
      <c r="AX67" s="12">
        <v>3</v>
      </c>
      <c r="AY67" s="12">
        <v>4</v>
      </c>
      <c r="AZ67" s="12">
        <v>4</v>
      </c>
      <c r="BA67" s="12">
        <v>3</v>
      </c>
      <c r="BB67" s="12">
        <v>4</v>
      </c>
      <c r="BC67" s="12">
        <v>4</v>
      </c>
      <c r="BD67" s="12">
        <v>4</v>
      </c>
      <c r="BE67" s="12">
        <v>3</v>
      </c>
      <c r="BF67" s="12">
        <v>4</v>
      </c>
      <c r="BG67" s="12">
        <v>4</v>
      </c>
      <c r="BH67" s="12">
        <v>3</v>
      </c>
      <c r="BI67" s="12">
        <v>3</v>
      </c>
      <c r="BJ67" s="12">
        <v>4</v>
      </c>
      <c r="BK67" s="12">
        <v>4</v>
      </c>
      <c r="BL67" s="12">
        <v>4</v>
      </c>
      <c r="BM67" s="12">
        <v>4</v>
      </c>
      <c r="BN67" s="12" t="s">
        <v>63</v>
      </c>
      <c r="BO67" s="12">
        <f>BN68</f>
        <v>4</v>
      </c>
      <c r="BP67" s="12">
        <f>BN69</f>
        <v>3</v>
      </c>
      <c r="BQ67" s="12">
        <f>BN70</f>
        <v>3</v>
      </c>
      <c r="BR67" s="12">
        <f>BN71</f>
        <v>4</v>
      </c>
      <c r="BS67" s="12">
        <f>BN72</f>
        <v>4</v>
      </c>
      <c r="BT67" s="12">
        <f>BN73</f>
        <v>3</v>
      </c>
      <c r="BU67" s="12">
        <f>BN74</f>
        <v>2</v>
      </c>
      <c r="BV67" s="12">
        <f>BN75</f>
        <v>4</v>
      </c>
      <c r="BW67" s="12">
        <f>BN76</f>
        <v>4</v>
      </c>
      <c r="BX67" s="12">
        <f>BN77</f>
        <v>4</v>
      </c>
      <c r="BY67" s="12">
        <f>BN78</f>
        <v>3</v>
      </c>
      <c r="BZ67" s="12">
        <f>BN79</f>
        <v>3</v>
      </c>
      <c r="CA67" s="12">
        <f>BO79</f>
        <v>3</v>
      </c>
      <c r="CB67" s="12">
        <f>BN81</f>
        <v>4</v>
      </c>
      <c r="CC67" s="12">
        <f>BN82</f>
        <v>4</v>
      </c>
      <c r="CD67" s="12">
        <f>BN83</f>
        <v>4</v>
      </c>
      <c r="CE67" s="12">
        <f>BN84</f>
        <v>4</v>
      </c>
      <c r="CF67" s="12">
        <f>BN85</f>
        <v>2</v>
      </c>
      <c r="CG67" s="12">
        <f>BN86</f>
        <v>4</v>
      </c>
      <c r="CH67" s="66">
        <f>BN87</f>
        <v>4</v>
      </c>
    </row>
    <row r="68" spans="1:86" ht="12.75" customHeight="1" x14ac:dyDescent="0.25">
      <c r="A68" s="11" t="s">
        <v>38</v>
      </c>
      <c r="B68" s="12">
        <v>3</v>
      </c>
      <c r="C68" s="12">
        <v>3</v>
      </c>
      <c r="D68" s="12">
        <v>3</v>
      </c>
      <c r="E68" s="12">
        <v>4</v>
      </c>
      <c r="F68" s="12">
        <v>4</v>
      </c>
      <c r="G68" s="12">
        <v>4</v>
      </c>
      <c r="H68" s="71">
        <v>4</v>
      </c>
      <c r="I68" s="71">
        <v>3</v>
      </c>
      <c r="J68" s="12">
        <v>3</v>
      </c>
      <c r="K68" s="12">
        <v>3</v>
      </c>
      <c r="L68" s="12">
        <v>3</v>
      </c>
      <c r="M68" s="12">
        <v>3</v>
      </c>
      <c r="N68" s="12">
        <v>2</v>
      </c>
      <c r="O68" s="12">
        <v>4</v>
      </c>
      <c r="P68" s="12">
        <v>3</v>
      </c>
      <c r="Q68" s="12">
        <v>4</v>
      </c>
      <c r="R68" s="12">
        <v>4</v>
      </c>
      <c r="S68" s="12">
        <v>3</v>
      </c>
      <c r="T68" s="12">
        <v>3</v>
      </c>
      <c r="U68" s="12">
        <v>4</v>
      </c>
      <c r="V68" s="12">
        <v>3</v>
      </c>
      <c r="W68" s="12">
        <v>3</v>
      </c>
      <c r="X68" s="12">
        <v>4</v>
      </c>
      <c r="Y68" s="12">
        <v>3</v>
      </c>
      <c r="Z68" s="12">
        <v>3</v>
      </c>
      <c r="AA68" s="12">
        <v>4</v>
      </c>
      <c r="AB68" s="12">
        <v>3</v>
      </c>
      <c r="AC68" s="12">
        <v>4</v>
      </c>
      <c r="AD68" s="12">
        <v>3</v>
      </c>
      <c r="AE68" s="12">
        <v>3</v>
      </c>
      <c r="AF68" s="12">
        <v>4</v>
      </c>
      <c r="AG68" s="12">
        <v>3</v>
      </c>
      <c r="AH68" s="12">
        <v>4</v>
      </c>
      <c r="AI68" s="12">
        <v>3</v>
      </c>
      <c r="AJ68" s="12">
        <v>4</v>
      </c>
      <c r="AK68" s="12">
        <v>3</v>
      </c>
      <c r="AL68" s="12">
        <v>4</v>
      </c>
      <c r="AM68" s="12">
        <v>3</v>
      </c>
      <c r="AN68" s="12">
        <v>3</v>
      </c>
      <c r="AO68" s="12">
        <v>4</v>
      </c>
      <c r="AP68" s="12">
        <v>1</v>
      </c>
      <c r="AQ68" s="12">
        <v>3</v>
      </c>
      <c r="AR68" s="12">
        <v>3</v>
      </c>
      <c r="AS68" s="12">
        <v>4</v>
      </c>
      <c r="AT68" s="12">
        <v>3</v>
      </c>
      <c r="AU68" s="12">
        <v>3</v>
      </c>
      <c r="AV68" s="12">
        <v>3</v>
      </c>
      <c r="AW68" s="12">
        <v>4</v>
      </c>
      <c r="AX68" s="12">
        <v>3</v>
      </c>
      <c r="AY68" s="12">
        <v>4</v>
      </c>
      <c r="AZ68" s="12">
        <v>4</v>
      </c>
      <c r="BA68" s="12">
        <v>3</v>
      </c>
      <c r="BB68" s="12">
        <v>4</v>
      </c>
      <c r="BC68" s="12">
        <v>4</v>
      </c>
      <c r="BD68" s="12">
        <v>4</v>
      </c>
      <c r="BE68" s="12">
        <v>2</v>
      </c>
      <c r="BF68" s="12">
        <v>3</v>
      </c>
      <c r="BG68" s="12">
        <v>3</v>
      </c>
      <c r="BH68" s="12">
        <v>3</v>
      </c>
      <c r="BI68" s="12">
        <v>3</v>
      </c>
      <c r="BJ68" s="12">
        <v>3</v>
      </c>
      <c r="BK68" s="12">
        <v>3</v>
      </c>
      <c r="BL68" s="12">
        <v>4</v>
      </c>
      <c r="BM68" s="12">
        <v>4</v>
      </c>
      <c r="BN68" s="12">
        <v>4</v>
      </c>
      <c r="BO68" s="12" t="s">
        <v>63</v>
      </c>
      <c r="BP68" s="12">
        <f>BO69</f>
        <v>3</v>
      </c>
      <c r="BQ68" s="12">
        <f>BO70</f>
        <v>3</v>
      </c>
      <c r="BR68" s="12">
        <f>BO71</f>
        <v>4</v>
      </c>
      <c r="BS68" s="12">
        <f>BO72</f>
        <v>4</v>
      </c>
      <c r="BT68" s="12">
        <f>BO73</f>
        <v>3</v>
      </c>
      <c r="BU68" s="12">
        <f>BO74</f>
        <v>3</v>
      </c>
      <c r="BV68" s="12">
        <f>BO75</f>
        <v>2</v>
      </c>
      <c r="BW68" s="12">
        <f>BO76</f>
        <v>3</v>
      </c>
      <c r="BX68" s="12">
        <f>BO77</f>
        <v>3</v>
      </c>
      <c r="BY68" s="12">
        <f>BO78</f>
        <v>3</v>
      </c>
      <c r="BZ68" s="12">
        <f>BO79</f>
        <v>3</v>
      </c>
      <c r="CA68" s="12">
        <f>BO80</f>
        <v>3</v>
      </c>
      <c r="CB68" s="12">
        <f>BP80</f>
        <v>3</v>
      </c>
      <c r="CC68" s="12">
        <f>BP80</f>
        <v>3</v>
      </c>
      <c r="CD68" s="12">
        <f>BO83</f>
        <v>3</v>
      </c>
      <c r="CE68" s="12">
        <f>BO84</f>
        <v>4</v>
      </c>
      <c r="CF68" s="12">
        <f>BO85</f>
        <v>3</v>
      </c>
      <c r="CG68" s="12">
        <f>BO86</f>
        <v>4</v>
      </c>
      <c r="CH68" s="66">
        <f>BO87</f>
        <v>4</v>
      </c>
    </row>
    <row r="69" spans="1:86" ht="12.75" customHeight="1" x14ac:dyDescent="0.25">
      <c r="A69" s="11" t="s">
        <v>40</v>
      </c>
      <c r="B69" s="12">
        <v>3</v>
      </c>
      <c r="C69" s="12">
        <v>3</v>
      </c>
      <c r="D69" s="12">
        <v>3</v>
      </c>
      <c r="E69" s="12">
        <v>4</v>
      </c>
      <c r="F69" s="12">
        <v>4</v>
      </c>
      <c r="G69" s="12">
        <v>4</v>
      </c>
      <c r="H69" s="71">
        <v>4</v>
      </c>
      <c r="I69" s="71">
        <v>3</v>
      </c>
      <c r="J69" s="12">
        <v>3</v>
      </c>
      <c r="K69" s="12">
        <v>3</v>
      </c>
      <c r="L69" s="12">
        <v>3</v>
      </c>
      <c r="M69" s="12">
        <v>3</v>
      </c>
      <c r="N69" s="12">
        <v>2</v>
      </c>
      <c r="O69" s="12">
        <v>4</v>
      </c>
      <c r="P69" s="12">
        <v>3</v>
      </c>
      <c r="Q69" s="12">
        <v>4</v>
      </c>
      <c r="R69" s="12">
        <v>4</v>
      </c>
      <c r="S69" s="12">
        <v>3</v>
      </c>
      <c r="T69" s="12">
        <v>3</v>
      </c>
      <c r="U69" s="12">
        <v>4</v>
      </c>
      <c r="V69" s="12">
        <v>3</v>
      </c>
      <c r="W69" s="12">
        <v>3</v>
      </c>
      <c r="X69" s="12">
        <v>4</v>
      </c>
      <c r="Y69" s="12">
        <v>3</v>
      </c>
      <c r="Z69" s="12">
        <v>3</v>
      </c>
      <c r="AA69" s="12">
        <v>4</v>
      </c>
      <c r="AB69" s="12">
        <v>3</v>
      </c>
      <c r="AC69" s="12">
        <v>4</v>
      </c>
      <c r="AD69" s="12">
        <v>3</v>
      </c>
      <c r="AE69" s="12">
        <v>3</v>
      </c>
      <c r="AF69" s="12">
        <v>4</v>
      </c>
      <c r="AG69" s="12">
        <v>4</v>
      </c>
      <c r="AH69" s="12">
        <v>4</v>
      </c>
      <c r="AI69" s="12">
        <v>1</v>
      </c>
      <c r="AJ69" s="12">
        <v>4</v>
      </c>
      <c r="AK69" s="12">
        <v>3</v>
      </c>
      <c r="AL69" s="12">
        <v>4</v>
      </c>
      <c r="AM69" s="12">
        <v>3</v>
      </c>
      <c r="AN69" s="12">
        <v>3</v>
      </c>
      <c r="AO69" s="12">
        <v>4</v>
      </c>
      <c r="AP69" s="12">
        <v>2</v>
      </c>
      <c r="AQ69" s="12">
        <v>3</v>
      </c>
      <c r="AR69" s="12">
        <v>3</v>
      </c>
      <c r="AS69" s="12">
        <v>4</v>
      </c>
      <c r="AT69" s="12">
        <v>3</v>
      </c>
      <c r="AU69" s="12">
        <v>3</v>
      </c>
      <c r="AV69" s="12">
        <v>3</v>
      </c>
      <c r="AW69" s="12">
        <v>4</v>
      </c>
      <c r="AX69" s="12">
        <v>3</v>
      </c>
      <c r="AY69" s="12">
        <v>4</v>
      </c>
      <c r="AZ69" s="12">
        <v>4</v>
      </c>
      <c r="BA69" s="12">
        <v>3</v>
      </c>
      <c r="BB69" s="12">
        <v>4</v>
      </c>
      <c r="BC69" s="12">
        <v>4</v>
      </c>
      <c r="BD69" s="12">
        <v>4</v>
      </c>
      <c r="BE69" s="12">
        <v>2</v>
      </c>
      <c r="BF69" s="12">
        <v>3</v>
      </c>
      <c r="BG69" s="12">
        <v>3</v>
      </c>
      <c r="BH69" s="12">
        <v>3</v>
      </c>
      <c r="BI69" s="12">
        <v>3</v>
      </c>
      <c r="BJ69" s="12">
        <v>3</v>
      </c>
      <c r="BK69" s="12">
        <v>3</v>
      </c>
      <c r="BL69" s="12">
        <v>4</v>
      </c>
      <c r="BM69" s="12">
        <v>4</v>
      </c>
      <c r="BN69" s="12">
        <v>3</v>
      </c>
      <c r="BO69" s="12">
        <v>3</v>
      </c>
      <c r="BP69" s="12" t="s">
        <v>63</v>
      </c>
      <c r="BQ69" s="12">
        <f>BP70</f>
        <v>3</v>
      </c>
      <c r="BR69" s="12">
        <f>BP71</f>
        <v>4</v>
      </c>
      <c r="BS69" s="12">
        <f>BP72</f>
        <v>4</v>
      </c>
      <c r="BT69" s="12">
        <f>BP73</f>
        <v>3</v>
      </c>
      <c r="BU69" s="12">
        <f>BP74</f>
        <v>3</v>
      </c>
      <c r="BV69" s="12">
        <f>BP75</f>
        <v>3</v>
      </c>
      <c r="BW69" s="12">
        <f>BP76</f>
        <v>3</v>
      </c>
      <c r="BX69" s="12">
        <f>BP77</f>
        <v>3</v>
      </c>
      <c r="BY69" s="12">
        <f>BP78</f>
        <v>3</v>
      </c>
      <c r="BZ69" s="12">
        <f>BP79</f>
        <v>3</v>
      </c>
      <c r="CA69" s="12">
        <f>BP80</f>
        <v>3</v>
      </c>
      <c r="CB69" s="12">
        <f>BP81</f>
        <v>3</v>
      </c>
      <c r="CC69" s="12">
        <f>BP82</f>
        <v>4</v>
      </c>
      <c r="CD69" s="12">
        <f>BQ82</f>
        <v>3</v>
      </c>
      <c r="CE69" s="12">
        <f>BP84</f>
        <v>4</v>
      </c>
      <c r="CF69" s="12">
        <f>BP85</f>
        <v>3</v>
      </c>
      <c r="CG69" s="12">
        <f>BP86</f>
        <v>4</v>
      </c>
      <c r="CH69" s="66">
        <f>BP87</f>
        <v>4</v>
      </c>
    </row>
    <row r="70" spans="1:86" ht="12.75" customHeight="1" x14ac:dyDescent="0.25">
      <c r="A70" s="11" t="s">
        <v>61</v>
      </c>
      <c r="B70" s="12">
        <v>2</v>
      </c>
      <c r="C70" s="12">
        <v>2</v>
      </c>
      <c r="D70" s="12">
        <v>2</v>
      </c>
      <c r="E70" s="12">
        <v>2</v>
      </c>
      <c r="F70" s="12">
        <v>3</v>
      </c>
      <c r="G70" s="12">
        <v>3</v>
      </c>
      <c r="H70" s="71">
        <v>3</v>
      </c>
      <c r="I70" s="71">
        <v>2</v>
      </c>
      <c r="J70" s="12">
        <v>2</v>
      </c>
      <c r="K70" s="12">
        <v>2</v>
      </c>
      <c r="L70" s="12">
        <v>2</v>
      </c>
      <c r="M70" s="12">
        <v>2</v>
      </c>
      <c r="N70" s="12">
        <v>1</v>
      </c>
      <c r="O70" s="12">
        <v>3</v>
      </c>
      <c r="P70" s="12">
        <v>2</v>
      </c>
      <c r="Q70" s="12">
        <v>3</v>
      </c>
      <c r="R70" s="12">
        <v>2</v>
      </c>
      <c r="S70" s="12">
        <v>2</v>
      </c>
      <c r="T70" s="12">
        <v>2</v>
      </c>
      <c r="U70" s="12">
        <v>3</v>
      </c>
      <c r="V70" s="12">
        <v>2</v>
      </c>
      <c r="W70" s="12">
        <v>2</v>
      </c>
      <c r="X70" s="12">
        <v>3</v>
      </c>
      <c r="Y70" s="12">
        <v>2</v>
      </c>
      <c r="Z70" s="12">
        <v>2</v>
      </c>
      <c r="AA70" s="12">
        <v>3</v>
      </c>
      <c r="AB70" s="12">
        <v>2</v>
      </c>
      <c r="AC70" s="12">
        <v>3</v>
      </c>
      <c r="AD70" s="12">
        <v>2</v>
      </c>
      <c r="AE70" s="12">
        <v>2</v>
      </c>
      <c r="AF70" s="12">
        <v>2</v>
      </c>
      <c r="AG70" s="12">
        <v>3</v>
      </c>
      <c r="AH70" s="12">
        <v>3</v>
      </c>
      <c r="AI70" s="12">
        <v>3</v>
      </c>
      <c r="AJ70" s="12">
        <v>3</v>
      </c>
      <c r="AK70" s="12">
        <v>2</v>
      </c>
      <c r="AL70" s="12">
        <v>3</v>
      </c>
      <c r="AM70" s="12">
        <v>2</v>
      </c>
      <c r="AN70" s="12">
        <v>2</v>
      </c>
      <c r="AO70" s="12">
        <v>3</v>
      </c>
      <c r="AP70" s="12">
        <v>1</v>
      </c>
      <c r="AQ70" s="12">
        <v>2</v>
      </c>
      <c r="AR70" s="12">
        <v>2</v>
      </c>
      <c r="AS70" s="12">
        <v>3</v>
      </c>
      <c r="AT70" s="12">
        <v>2</v>
      </c>
      <c r="AU70" s="12">
        <v>2</v>
      </c>
      <c r="AV70" s="12">
        <v>2</v>
      </c>
      <c r="AW70" s="12">
        <v>3</v>
      </c>
      <c r="AX70" s="12">
        <v>2</v>
      </c>
      <c r="AY70" s="12">
        <v>3</v>
      </c>
      <c r="AZ70" s="12">
        <v>3</v>
      </c>
      <c r="BA70" s="12">
        <v>2</v>
      </c>
      <c r="BB70" s="12">
        <v>3</v>
      </c>
      <c r="BC70" s="12">
        <v>3</v>
      </c>
      <c r="BD70" s="12">
        <v>3</v>
      </c>
      <c r="BE70" s="12">
        <v>1</v>
      </c>
      <c r="BF70" s="12">
        <v>2</v>
      </c>
      <c r="BG70" s="12">
        <v>2</v>
      </c>
      <c r="BH70" s="12">
        <v>1</v>
      </c>
      <c r="BI70" s="12">
        <v>2</v>
      </c>
      <c r="BJ70" s="12">
        <v>2</v>
      </c>
      <c r="BK70" s="12">
        <v>2</v>
      </c>
      <c r="BL70" s="12">
        <v>3</v>
      </c>
      <c r="BM70" s="12">
        <v>3</v>
      </c>
      <c r="BN70" s="12">
        <v>3</v>
      </c>
      <c r="BO70" s="12">
        <v>3</v>
      </c>
      <c r="BP70" s="12">
        <v>3</v>
      </c>
      <c r="BQ70" s="12" t="s">
        <v>63</v>
      </c>
      <c r="BR70" s="12">
        <f>BQ71</f>
        <v>2</v>
      </c>
      <c r="BS70" s="12">
        <f>BQ72</f>
        <v>3</v>
      </c>
      <c r="BT70" s="12">
        <f>BQ73</f>
        <v>2</v>
      </c>
      <c r="BU70" s="12">
        <f>BQ74</f>
        <v>2</v>
      </c>
      <c r="BV70" s="12">
        <f>BQ75</f>
        <v>3</v>
      </c>
      <c r="BW70" s="12">
        <f>BQ76</f>
        <v>2</v>
      </c>
      <c r="BX70" s="12">
        <f>BQ77</f>
        <v>2</v>
      </c>
      <c r="BY70" s="12">
        <f>BQ78</f>
        <v>2</v>
      </c>
      <c r="BZ70" s="12">
        <f>BQ79</f>
        <v>2</v>
      </c>
      <c r="CA70" s="12">
        <f>BQ80</f>
        <v>1</v>
      </c>
      <c r="CB70" s="12">
        <f>BQ81</f>
        <v>2</v>
      </c>
      <c r="CC70" s="12">
        <f>BQ82</f>
        <v>3</v>
      </c>
      <c r="CD70" s="12">
        <f>BQ83</f>
        <v>3</v>
      </c>
      <c r="CE70" s="12">
        <f>BR83</f>
        <v>4</v>
      </c>
      <c r="CF70" s="12">
        <f>BQ85</f>
        <v>2</v>
      </c>
      <c r="CG70" s="12">
        <f>BQ86</f>
        <v>3</v>
      </c>
      <c r="CH70" s="66">
        <f>BQ87</f>
        <v>3</v>
      </c>
    </row>
    <row r="71" spans="1:86" ht="12.75" customHeight="1" x14ac:dyDescent="0.25">
      <c r="A71" s="11" t="s">
        <v>34</v>
      </c>
      <c r="B71" s="12">
        <v>3</v>
      </c>
      <c r="C71" s="12">
        <v>3</v>
      </c>
      <c r="D71" s="12">
        <v>3</v>
      </c>
      <c r="E71" s="12">
        <v>3</v>
      </c>
      <c r="F71" s="12">
        <v>4</v>
      </c>
      <c r="G71" s="12">
        <v>4</v>
      </c>
      <c r="H71" s="71">
        <v>4</v>
      </c>
      <c r="I71" s="71">
        <v>3</v>
      </c>
      <c r="J71" s="12">
        <v>3</v>
      </c>
      <c r="K71" s="12">
        <v>3</v>
      </c>
      <c r="L71" s="12">
        <v>3</v>
      </c>
      <c r="M71" s="12">
        <v>3</v>
      </c>
      <c r="N71" s="12">
        <v>2</v>
      </c>
      <c r="O71" s="12">
        <v>4</v>
      </c>
      <c r="P71" s="12">
        <v>3</v>
      </c>
      <c r="Q71" s="12">
        <v>4</v>
      </c>
      <c r="R71" s="12">
        <v>3</v>
      </c>
      <c r="S71" s="12">
        <v>3</v>
      </c>
      <c r="T71" s="12">
        <v>3</v>
      </c>
      <c r="U71" s="12">
        <v>4</v>
      </c>
      <c r="V71" s="12">
        <v>3</v>
      </c>
      <c r="W71" s="12">
        <v>3</v>
      </c>
      <c r="X71" s="12">
        <v>4</v>
      </c>
      <c r="Y71" s="12">
        <v>3</v>
      </c>
      <c r="Z71" s="12">
        <v>3</v>
      </c>
      <c r="AA71" s="12">
        <v>4</v>
      </c>
      <c r="AB71" s="12">
        <v>3</v>
      </c>
      <c r="AC71" s="12">
        <v>4</v>
      </c>
      <c r="AD71" s="12">
        <v>3</v>
      </c>
      <c r="AE71" s="12">
        <v>3</v>
      </c>
      <c r="AF71" s="12">
        <v>3</v>
      </c>
      <c r="AG71" s="12">
        <v>4</v>
      </c>
      <c r="AH71" s="12">
        <v>4</v>
      </c>
      <c r="AI71" s="12">
        <v>4</v>
      </c>
      <c r="AJ71" s="12">
        <v>4</v>
      </c>
      <c r="AK71" s="12">
        <v>2</v>
      </c>
      <c r="AL71" s="12">
        <v>4</v>
      </c>
      <c r="AM71" s="12">
        <v>3</v>
      </c>
      <c r="AN71" s="12">
        <v>3</v>
      </c>
      <c r="AO71" s="12">
        <v>4</v>
      </c>
      <c r="AP71" s="12">
        <v>2</v>
      </c>
      <c r="AQ71" s="12">
        <v>3</v>
      </c>
      <c r="AR71" s="12">
        <v>3</v>
      </c>
      <c r="AS71" s="12">
        <v>2</v>
      </c>
      <c r="AT71" s="12">
        <v>3</v>
      </c>
      <c r="AU71" s="12">
        <v>2</v>
      </c>
      <c r="AV71" s="12">
        <v>2</v>
      </c>
      <c r="AW71" s="12">
        <v>4</v>
      </c>
      <c r="AX71" s="12">
        <v>2</v>
      </c>
      <c r="AY71" s="12">
        <v>4</v>
      </c>
      <c r="AZ71" s="12">
        <v>4</v>
      </c>
      <c r="BA71" s="12">
        <v>3</v>
      </c>
      <c r="BB71" s="12">
        <v>4</v>
      </c>
      <c r="BC71" s="12">
        <v>4</v>
      </c>
      <c r="BD71" s="12">
        <v>4</v>
      </c>
      <c r="BE71" s="12">
        <v>1</v>
      </c>
      <c r="BF71" s="12">
        <v>3</v>
      </c>
      <c r="BG71" s="12">
        <v>3</v>
      </c>
      <c r="BH71" s="12">
        <v>2</v>
      </c>
      <c r="BI71" s="12">
        <v>2</v>
      </c>
      <c r="BJ71" s="12">
        <v>3</v>
      </c>
      <c r="BK71" s="12">
        <v>3</v>
      </c>
      <c r="BL71" s="12">
        <v>4</v>
      </c>
      <c r="BM71" s="12">
        <v>4</v>
      </c>
      <c r="BN71" s="12">
        <v>4</v>
      </c>
      <c r="BO71" s="12">
        <v>4</v>
      </c>
      <c r="BP71" s="12">
        <v>4</v>
      </c>
      <c r="BQ71" s="12">
        <v>2</v>
      </c>
      <c r="BR71" s="12" t="s">
        <v>63</v>
      </c>
      <c r="BS71" s="12">
        <f>BR72</f>
        <v>4</v>
      </c>
      <c r="BT71" s="12">
        <f>BR73</f>
        <v>3</v>
      </c>
      <c r="BU71" s="12">
        <f>BR74</f>
        <v>3</v>
      </c>
      <c r="BV71" s="12">
        <f>BR75</f>
        <v>4</v>
      </c>
      <c r="BW71" s="12">
        <f>BR76</f>
        <v>3</v>
      </c>
      <c r="BX71" s="12">
        <f>BR77</f>
        <v>3</v>
      </c>
      <c r="BY71" s="12">
        <f>BR78</f>
        <v>3</v>
      </c>
      <c r="BZ71" s="12">
        <f>BR79</f>
        <v>3</v>
      </c>
      <c r="CA71" s="12">
        <f>BR80</f>
        <v>2</v>
      </c>
      <c r="CB71" s="12">
        <f>BR81</f>
        <v>3</v>
      </c>
      <c r="CC71" s="12">
        <f>BR82</f>
        <v>4</v>
      </c>
      <c r="CD71" s="12">
        <f>BR83</f>
        <v>4</v>
      </c>
      <c r="CE71" s="12">
        <f>BR84</f>
        <v>4</v>
      </c>
      <c r="CF71" s="12">
        <f>BS84</f>
        <v>4</v>
      </c>
      <c r="CG71" s="12">
        <f>BR86</f>
        <v>4</v>
      </c>
      <c r="CH71" s="66">
        <f>BR87</f>
        <v>4</v>
      </c>
    </row>
    <row r="72" spans="1:86" ht="12.75" customHeight="1" x14ac:dyDescent="0.25">
      <c r="A72" s="11" t="s">
        <v>49</v>
      </c>
      <c r="B72" s="12">
        <v>2</v>
      </c>
      <c r="C72" s="12">
        <v>2</v>
      </c>
      <c r="D72" s="12">
        <v>2</v>
      </c>
      <c r="E72" s="12">
        <v>4</v>
      </c>
      <c r="F72" s="12">
        <v>4</v>
      </c>
      <c r="G72" s="12">
        <v>4</v>
      </c>
      <c r="H72" s="71">
        <v>4</v>
      </c>
      <c r="I72" s="71">
        <v>3</v>
      </c>
      <c r="J72" s="12">
        <v>3</v>
      </c>
      <c r="K72" s="12">
        <v>2</v>
      </c>
      <c r="L72" s="12">
        <v>2</v>
      </c>
      <c r="M72" s="12">
        <v>2</v>
      </c>
      <c r="N72" s="12">
        <v>1</v>
      </c>
      <c r="O72" s="12">
        <v>4</v>
      </c>
      <c r="P72" s="12">
        <v>2</v>
      </c>
      <c r="Q72" s="12">
        <v>4</v>
      </c>
      <c r="R72" s="12">
        <v>4</v>
      </c>
      <c r="S72" s="12">
        <v>3</v>
      </c>
      <c r="T72" s="12">
        <v>2</v>
      </c>
      <c r="U72" s="12">
        <v>4</v>
      </c>
      <c r="V72" s="12">
        <v>2</v>
      </c>
      <c r="W72" s="12">
        <v>2</v>
      </c>
      <c r="X72" s="12">
        <v>4</v>
      </c>
      <c r="Y72" s="12">
        <v>2</v>
      </c>
      <c r="Z72" s="12">
        <v>2</v>
      </c>
      <c r="AA72" s="12">
        <v>4</v>
      </c>
      <c r="AB72" s="12">
        <v>2</v>
      </c>
      <c r="AC72" s="12">
        <v>4</v>
      </c>
      <c r="AD72" s="12">
        <v>2</v>
      </c>
      <c r="AE72" s="12">
        <v>2</v>
      </c>
      <c r="AF72" s="12">
        <v>4</v>
      </c>
      <c r="AG72" s="12">
        <v>4</v>
      </c>
      <c r="AH72" s="12">
        <v>4</v>
      </c>
      <c r="AI72" s="12">
        <v>4</v>
      </c>
      <c r="AJ72" s="12">
        <v>4</v>
      </c>
      <c r="AK72" s="12">
        <v>3</v>
      </c>
      <c r="AL72" s="12">
        <v>3</v>
      </c>
      <c r="AM72" s="12">
        <v>2</v>
      </c>
      <c r="AN72" s="12">
        <v>2</v>
      </c>
      <c r="AO72" s="12">
        <v>3</v>
      </c>
      <c r="AP72" s="12">
        <v>3</v>
      </c>
      <c r="AQ72" s="12">
        <v>2</v>
      </c>
      <c r="AR72" s="12">
        <v>2</v>
      </c>
      <c r="AS72" s="12">
        <v>4</v>
      </c>
      <c r="AT72" s="12">
        <v>2</v>
      </c>
      <c r="AU72" s="12">
        <v>3</v>
      </c>
      <c r="AV72" s="12">
        <v>3</v>
      </c>
      <c r="AW72" s="12">
        <v>4</v>
      </c>
      <c r="AX72" s="12">
        <v>3</v>
      </c>
      <c r="AY72" s="12">
        <v>4</v>
      </c>
      <c r="AZ72" s="12">
        <v>4</v>
      </c>
      <c r="BA72" s="12">
        <v>3</v>
      </c>
      <c r="BB72" s="12">
        <v>4</v>
      </c>
      <c r="BC72" s="12">
        <v>4</v>
      </c>
      <c r="BD72" s="12">
        <v>4</v>
      </c>
      <c r="BE72" s="12">
        <v>2</v>
      </c>
      <c r="BF72" s="12">
        <v>2</v>
      </c>
      <c r="BG72" s="12">
        <v>2</v>
      </c>
      <c r="BH72" s="12">
        <v>3</v>
      </c>
      <c r="BI72" s="12">
        <v>3</v>
      </c>
      <c r="BJ72" s="12">
        <v>2</v>
      </c>
      <c r="BK72" s="12">
        <v>2</v>
      </c>
      <c r="BL72" s="12">
        <v>4</v>
      </c>
      <c r="BM72" s="12">
        <v>4</v>
      </c>
      <c r="BN72" s="12">
        <v>4</v>
      </c>
      <c r="BO72" s="12">
        <v>4</v>
      </c>
      <c r="BP72" s="12">
        <v>4</v>
      </c>
      <c r="BQ72" s="12">
        <v>3</v>
      </c>
      <c r="BR72" s="12">
        <v>4</v>
      </c>
      <c r="BS72" s="12" t="s">
        <v>63</v>
      </c>
      <c r="BT72" s="12">
        <f>BS73</f>
        <v>2</v>
      </c>
      <c r="BU72" s="12">
        <f>BS74</f>
        <v>2</v>
      </c>
      <c r="BV72" s="12">
        <f>BS75</f>
        <v>4</v>
      </c>
      <c r="BW72" s="12">
        <f>BS76</f>
        <v>2</v>
      </c>
      <c r="BX72" s="12">
        <f>BS77</f>
        <v>2</v>
      </c>
      <c r="BY72" s="12">
        <f>BS78</f>
        <v>2</v>
      </c>
      <c r="BZ72" s="12">
        <f>BS79</f>
        <v>3</v>
      </c>
      <c r="CA72" s="12">
        <f>BS80</f>
        <v>3</v>
      </c>
      <c r="CB72" s="12">
        <f>BS81</f>
        <v>2</v>
      </c>
      <c r="CC72" s="12">
        <f>BS82</f>
        <v>4</v>
      </c>
      <c r="CD72" s="12">
        <f>BS83</f>
        <v>4</v>
      </c>
      <c r="CE72" s="12">
        <f>BS84</f>
        <v>4</v>
      </c>
      <c r="CF72" s="12">
        <f>BS85</f>
        <v>2</v>
      </c>
      <c r="CG72" s="12">
        <f>BT85</f>
        <v>2</v>
      </c>
      <c r="CH72" s="66">
        <f>BS87</f>
        <v>4</v>
      </c>
    </row>
    <row r="73" spans="1:86" ht="12.75" customHeight="1" x14ac:dyDescent="0.25">
      <c r="A73" s="11" t="s">
        <v>167</v>
      </c>
      <c r="B73" s="12">
        <v>2</v>
      </c>
      <c r="C73" s="12">
        <v>2</v>
      </c>
      <c r="D73" s="12">
        <v>2</v>
      </c>
      <c r="E73" s="12">
        <v>3</v>
      </c>
      <c r="F73" s="12">
        <v>3</v>
      </c>
      <c r="G73" s="12">
        <v>3</v>
      </c>
      <c r="H73" s="71">
        <v>3</v>
      </c>
      <c r="I73" s="71">
        <v>2</v>
      </c>
      <c r="J73" s="12">
        <v>2</v>
      </c>
      <c r="K73" s="12">
        <v>2</v>
      </c>
      <c r="L73" s="12">
        <v>2</v>
      </c>
      <c r="M73" s="12">
        <v>2</v>
      </c>
      <c r="N73" s="12">
        <v>1</v>
      </c>
      <c r="O73" s="12">
        <v>3</v>
      </c>
      <c r="P73" s="12">
        <v>2</v>
      </c>
      <c r="Q73" s="12">
        <v>3</v>
      </c>
      <c r="R73" s="12">
        <v>3</v>
      </c>
      <c r="S73" s="12">
        <v>2</v>
      </c>
      <c r="T73" s="12">
        <v>2</v>
      </c>
      <c r="U73" s="12">
        <v>3</v>
      </c>
      <c r="V73" s="12">
        <v>2</v>
      </c>
      <c r="W73" s="12">
        <v>2</v>
      </c>
      <c r="X73" s="12">
        <v>3</v>
      </c>
      <c r="Y73" s="12">
        <v>2</v>
      </c>
      <c r="Z73" s="12">
        <v>2</v>
      </c>
      <c r="AA73" s="12">
        <v>3</v>
      </c>
      <c r="AB73" s="12">
        <v>2</v>
      </c>
      <c r="AC73" s="12">
        <v>3</v>
      </c>
      <c r="AD73" s="12">
        <v>2</v>
      </c>
      <c r="AE73" s="12">
        <v>2</v>
      </c>
      <c r="AF73" s="12">
        <v>3</v>
      </c>
      <c r="AG73" s="12">
        <v>3</v>
      </c>
      <c r="AH73" s="12">
        <v>3</v>
      </c>
      <c r="AI73" s="12">
        <v>3</v>
      </c>
      <c r="AJ73" s="12">
        <v>3</v>
      </c>
      <c r="AK73" s="12">
        <v>2</v>
      </c>
      <c r="AL73" s="12">
        <v>3</v>
      </c>
      <c r="AM73" s="12">
        <v>2</v>
      </c>
      <c r="AN73" s="12">
        <v>2</v>
      </c>
      <c r="AO73" s="12">
        <v>3</v>
      </c>
      <c r="AP73" s="12">
        <v>2</v>
      </c>
      <c r="AQ73" s="12">
        <v>2</v>
      </c>
      <c r="AR73" s="12">
        <v>2</v>
      </c>
      <c r="AS73" s="12">
        <v>3</v>
      </c>
      <c r="AT73" s="12">
        <v>2</v>
      </c>
      <c r="AU73" s="12">
        <v>2</v>
      </c>
      <c r="AV73" s="12">
        <v>2</v>
      </c>
      <c r="AW73" s="12">
        <v>3</v>
      </c>
      <c r="AX73" s="12">
        <v>2</v>
      </c>
      <c r="AY73" s="12">
        <v>3</v>
      </c>
      <c r="AZ73" s="12">
        <v>3</v>
      </c>
      <c r="BA73" s="12">
        <v>2</v>
      </c>
      <c r="BB73" s="12">
        <v>3</v>
      </c>
      <c r="BC73" s="12">
        <v>3</v>
      </c>
      <c r="BD73" s="12">
        <v>3</v>
      </c>
      <c r="BE73" s="12">
        <v>1</v>
      </c>
      <c r="BF73" s="12">
        <v>2</v>
      </c>
      <c r="BG73" s="12">
        <v>2</v>
      </c>
      <c r="BH73" s="12">
        <v>2</v>
      </c>
      <c r="BI73" s="12">
        <v>2</v>
      </c>
      <c r="BJ73" s="12">
        <v>2</v>
      </c>
      <c r="BK73" s="12">
        <v>2</v>
      </c>
      <c r="BL73" s="12">
        <v>3</v>
      </c>
      <c r="BM73" s="12">
        <v>3</v>
      </c>
      <c r="BN73" s="12">
        <v>3</v>
      </c>
      <c r="BO73" s="12">
        <v>3</v>
      </c>
      <c r="BP73" s="12">
        <v>3</v>
      </c>
      <c r="BQ73" s="12">
        <v>2</v>
      </c>
      <c r="BR73" s="12">
        <v>3</v>
      </c>
      <c r="BS73" s="12">
        <v>2</v>
      </c>
      <c r="BT73" s="12" t="s">
        <v>63</v>
      </c>
      <c r="BU73" s="12">
        <f>BT74</f>
        <v>2</v>
      </c>
      <c r="BV73" s="12">
        <f>BT75</f>
        <v>3</v>
      </c>
      <c r="BW73" s="12">
        <f>BT76</f>
        <v>2</v>
      </c>
      <c r="BX73" s="12">
        <f>BT77</f>
        <v>2</v>
      </c>
      <c r="BY73" s="12">
        <f>BT78</f>
        <v>2</v>
      </c>
      <c r="BZ73" s="12">
        <f>BT79</f>
        <v>2</v>
      </c>
      <c r="CA73" s="12">
        <f>BT80</f>
        <v>2</v>
      </c>
      <c r="CB73" s="12">
        <f>BT81</f>
        <v>2</v>
      </c>
      <c r="CC73" s="12">
        <f>BT82</f>
        <v>3</v>
      </c>
      <c r="CD73" s="12">
        <f>BT83</f>
        <v>3</v>
      </c>
      <c r="CE73" s="12">
        <f>BT84</f>
        <v>3</v>
      </c>
      <c r="CF73" s="12">
        <f>BT85</f>
        <v>2</v>
      </c>
      <c r="CG73" s="12">
        <f>BT86</f>
        <v>3</v>
      </c>
      <c r="CH73" s="66">
        <f>BU86</f>
        <v>3</v>
      </c>
    </row>
    <row r="74" spans="1:86" ht="12.75" customHeight="1" x14ac:dyDescent="0.25">
      <c r="A74" s="11" t="s">
        <v>24</v>
      </c>
      <c r="B74" s="12">
        <v>2</v>
      </c>
      <c r="C74" s="12">
        <v>2</v>
      </c>
      <c r="D74" s="12">
        <v>2</v>
      </c>
      <c r="E74" s="12">
        <v>3</v>
      </c>
      <c r="F74" s="12">
        <v>3</v>
      </c>
      <c r="G74" s="12">
        <v>3</v>
      </c>
      <c r="H74" s="71">
        <v>3</v>
      </c>
      <c r="I74" s="71">
        <v>2</v>
      </c>
      <c r="J74" s="12">
        <v>2</v>
      </c>
      <c r="K74" s="12">
        <v>2</v>
      </c>
      <c r="L74" s="12">
        <v>2</v>
      </c>
      <c r="M74" s="12">
        <v>2</v>
      </c>
      <c r="N74" s="12">
        <v>1</v>
      </c>
      <c r="O74" s="12">
        <v>3</v>
      </c>
      <c r="P74" s="12">
        <v>2</v>
      </c>
      <c r="Q74" s="12">
        <v>3</v>
      </c>
      <c r="R74" s="12">
        <v>3</v>
      </c>
      <c r="S74" s="12">
        <v>2</v>
      </c>
      <c r="T74" s="12">
        <v>2</v>
      </c>
      <c r="U74" s="12">
        <v>3</v>
      </c>
      <c r="V74" s="12">
        <v>2</v>
      </c>
      <c r="W74" s="12">
        <v>2</v>
      </c>
      <c r="X74" s="12">
        <v>3</v>
      </c>
      <c r="Y74" s="12">
        <v>2</v>
      </c>
      <c r="Z74" s="12">
        <v>2</v>
      </c>
      <c r="AA74" s="12">
        <v>3</v>
      </c>
      <c r="AB74" s="12">
        <v>2</v>
      </c>
      <c r="AC74" s="12">
        <v>3</v>
      </c>
      <c r="AD74" s="12">
        <v>2</v>
      </c>
      <c r="AE74" s="12">
        <v>2</v>
      </c>
      <c r="AF74" s="12">
        <v>3</v>
      </c>
      <c r="AG74" s="12">
        <v>3</v>
      </c>
      <c r="AH74" s="12">
        <v>3</v>
      </c>
      <c r="AI74" s="12">
        <v>3</v>
      </c>
      <c r="AJ74" s="12">
        <v>3</v>
      </c>
      <c r="AK74" s="12">
        <v>2</v>
      </c>
      <c r="AL74" s="12">
        <v>3</v>
      </c>
      <c r="AM74" s="12">
        <v>2</v>
      </c>
      <c r="AN74" s="12">
        <v>2</v>
      </c>
      <c r="AO74" s="12">
        <v>3</v>
      </c>
      <c r="AP74" s="12">
        <v>2</v>
      </c>
      <c r="AQ74" s="12">
        <v>2</v>
      </c>
      <c r="AR74" s="12">
        <v>2</v>
      </c>
      <c r="AS74" s="12">
        <v>3</v>
      </c>
      <c r="AT74" s="12">
        <v>2</v>
      </c>
      <c r="AU74" s="12">
        <v>2</v>
      </c>
      <c r="AV74" s="12">
        <v>2</v>
      </c>
      <c r="AW74" s="12">
        <v>2</v>
      </c>
      <c r="AX74" s="12">
        <v>2</v>
      </c>
      <c r="AY74" s="12">
        <v>1</v>
      </c>
      <c r="AZ74" s="12">
        <v>3</v>
      </c>
      <c r="BA74" s="12">
        <v>1</v>
      </c>
      <c r="BB74" s="12">
        <v>3</v>
      </c>
      <c r="BC74" s="12">
        <v>3</v>
      </c>
      <c r="BD74" s="12">
        <v>1</v>
      </c>
      <c r="BE74" s="12">
        <v>1</v>
      </c>
      <c r="BF74" s="12">
        <v>2</v>
      </c>
      <c r="BG74" s="12">
        <v>2</v>
      </c>
      <c r="BH74" s="12">
        <v>2</v>
      </c>
      <c r="BI74" s="12">
        <v>2</v>
      </c>
      <c r="BJ74" s="12">
        <v>2</v>
      </c>
      <c r="BK74" s="12">
        <v>2</v>
      </c>
      <c r="BL74" s="12">
        <v>3</v>
      </c>
      <c r="BM74" s="12">
        <v>3</v>
      </c>
      <c r="BN74" s="12">
        <v>2</v>
      </c>
      <c r="BO74" s="12">
        <v>3</v>
      </c>
      <c r="BP74" s="12">
        <v>3</v>
      </c>
      <c r="BQ74" s="12">
        <v>2</v>
      </c>
      <c r="BR74" s="12">
        <v>3</v>
      </c>
      <c r="BS74" s="12">
        <v>2</v>
      </c>
      <c r="BT74" s="12">
        <v>2</v>
      </c>
      <c r="BU74" s="12" t="s">
        <v>63</v>
      </c>
      <c r="BV74" s="12">
        <f>BU75</f>
        <v>3</v>
      </c>
      <c r="BW74" s="12">
        <f>BU76</f>
        <v>2</v>
      </c>
      <c r="BX74" s="12">
        <f>BU77</f>
        <v>2</v>
      </c>
      <c r="BY74" s="12">
        <f>BU78</f>
        <v>2</v>
      </c>
      <c r="BZ74" s="12">
        <f>BU79</f>
        <v>2</v>
      </c>
      <c r="CA74" s="12">
        <f>BU80</f>
        <v>2</v>
      </c>
      <c r="CB74" s="12">
        <f>BU81</f>
        <v>2</v>
      </c>
      <c r="CC74" s="12">
        <f>BU82</f>
        <v>3</v>
      </c>
      <c r="CD74" s="12">
        <f>BU83</f>
        <v>3</v>
      </c>
      <c r="CE74" s="12">
        <f>BU84</f>
        <v>3</v>
      </c>
      <c r="CF74" s="12">
        <f>BU85</f>
        <v>1</v>
      </c>
      <c r="CG74" s="12">
        <f>BU86</f>
        <v>3</v>
      </c>
      <c r="CH74" s="66">
        <f>BU87</f>
        <v>3</v>
      </c>
    </row>
    <row r="75" spans="1:86" ht="12.75" customHeight="1" x14ac:dyDescent="0.25">
      <c r="A75" s="11" t="s">
        <v>25</v>
      </c>
      <c r="B75" s="12">
        <v>3</v>
      </c>
      <c r="C75" s="12">
        <v>3</v>
      </c>
      <c r="D75" s="12">
        <v>3</v>
      </c>
      <c r="E75" s="12">
        <v>4</v>
      </c>
      <c r="F75" s="12">
        <v>4</v>
      </c>
      <c r="G75" s="12">
        <v>4</v>
      </c>
      <c r="H75" s="71">
        <v>4</v>
      </c>
      <c r="I75" s="71">
        <v>3</v>
      </c>
      <c r="J75" s="12">
        <v>3</v>
      </c>
      <c r="K75" s="12">
        <v>3</v>
      </c>
      <c r="L75" s="12">
        <v>3</v>
      </c>
      <c r="M75" s="12">
        <v>3</v>
      </c>
      <c r="N75" s="12">
        <v>2</v>
      </c>
      <c r="O75" s="12">
        <v>4</v>
      </c>
      <c r="P75" s="12">
        <v>3</v>
      </c>
      <c r="Q75" s="12">
        <v>4</v>
      </c>
      <c r="R75" s="12">
        <v>4</v>
      </c>
      <c r="S75" s="12">
        <v>3</v>
      </c>
      <c r="T75" s="12">
        <v>3</v>
      </c>
      <c r="U75" s="12">
        <v>4</v>
      </c>
      <c r="V75" s="12">
        <v>3</v>
      </c>
      <c r="W75" s="12">
        <v>3</v>
      </c>
      <c r="X75" s="12">
        <v>4</v>
      </c>
      <c r="Y75" s="12">
        <v>3</v>
      </c>
      <c r="Z75" s="12">
        <v>3</v>
      </c>
      <c r="AA75" s="12">
        <v>4</v>
      </c>
      <c r="AB75" s="12">
        <v>3</v>
      </c>
      <c r="AC75" s="12">
        <v>4</v>
      </c>
      <c r="AD75" s="12">
        <v>3</v>
      </c>
      <c r="AE75" s="12">
        <v>3</v>
      </c>
      <c r="AF75" s="12">
        <v>4</v>
      </c>
      <c r="AG75" s="12">
        <v>3</v>
      </c>
      <c r="AH75" s="12">
        <v>4</v>
      </c>
      <c r="AI75" s="12">
        <v>2</v>
      </c>
      <c r="AJ75" s="12">
        <v>4</v>
      </c>
      <c r="AK75" s="12">
        <v>2</v>
      </c>
      <c r="AL75" s="12">
        <v>4</v>
      </c>
      <c r="AM75" s="12">
        <v>3</v>
      </c>
      <c r="AN75" s="12">
        <v>3</v>
      </c>
      <c r="AO75" s="12">
        <v>4</v>
      </c>
      <c r="AP75" s="12">
        <v>1</v>
      </c>
      <c r="AQ75" s="12">
        <v>3</v>
      </c>
      <c r="AR75" s="12">
        <v>3</v>
      </c>
      <c r="AS75" s="12">
        <v>4</v>
      </c>
      <c r="AT75" s="12">
        <v>3</v>
      </c>
      <c r="AU75" s="12">
        <v>2</v>
      </c>
      <c r="AV75" s="12">
        <v>2</v>
      </c>
      <c r="AW75" s="12">
        <v>4</v>
      </c>
      <c r="AX75" s="12">
        <v>2</v>
      </c>
      <c r="AY75" s="12">
        <v>4</v>
      </c>
      <c r="AZ75" s="12">
        <v>4</v>
      </c>
      <c r="BA75" s="12">
        <v>3</v>
      </c>
      <c r="BB75" s="12">
        <v>4</v>
      </c>
      <c r="BC75" s="12">
        <v>4</v>
      </c>
      <c r="BD75" s="12">
        <v>4</v>
      </c>
      <c r="BE75" s="12">
        <v>2</v>
      </c>
      <c r="BF75" s="12">
        <v>3</v>
      </c>
      <c r="BG75" s="12">
        <v>3</v>
      </c>
      <c r="BH75" s="12">
        <v>3</v>
      </c>
      <c r="BI75" s="12">
        <v>3</v>
      </c>
      <c r="BJ75" s="12">
        <v>3</v>
      </c>
      <c r="BK75" s="12">
        <v>3</v>
      </c>
      <c r="BL75" s="12">
        <v>4</v>
      </c>
      <c r="BM75" s="12">
        <v>4</v>
      </c>
      <c r="BN75" s="12">
        <v>4</v>
      </c>
      <c r="BO75" s="12">
        <v>2</v>
      </c>
      <c r="BP75" s="12">
        <v>3</v>
      </c>
      <c r="BQ75" s="12">
        <v>3</v>
      </c>
      <c r="BR75" s="12">
        <v>4</v>
      </c>
      <c r="BS75" s="12">
        <v>4</v>
      </c>
      <c r="BT75" s="12">
        <v>3</v>
      </c>
      <c r="BU75" s="12">
        <v>3</v>
      </c>
      <c r="BV75" s="12" t="s">
        <v>63</v>
      </c>
      <c r="BW75" s="12">
        <f>BV76</f>
        <v>3</v>
      </c>
      <c r="BX75" s="12">
        <f>BV77</f>
        <v>3</v>
      </c>
      <c r="BY75" s="12">
        <f>BV78</f>
        <v>3</v>
      </c>
      <c r="BZ75" s="12">
        <f>BV79</f>
        <v>3</v>
      </c>
      <c r="CA75" s="12">
        <f>BV80</f>
        <v>3</v>
      </c>
      <c r="CB75" s="12">
        <f>BV81</f>
        <v>3</v>
      </c>
      <c r="CC75" s="12">
        <f>BV82</f>
        <v>4</v>
      </c>
      <c r="CD75" s="12">
        <f>BV83</f>
        <v>2</v>
      </c>
      <c r="CE75" s="12">
        <f>BV84</f>
        <v>4</v>
      </c>
      <c r="CF75" s="12">
        <f>BV85</f>
        <v>3</v>
      </c>
      <c r="CG75" s="12">
        <f>BV86</f>
        <v>4</v>
      </c>
      <c r="CH75" s="66">
        <f>BV87</f>
        <v>4</v>
      </c>
    </row>
    <row r="76" spans="1:86" ht="12.75" customHeight="1" x14ac:dyDescent="0.25">
      <c r="A76" s="11" t="s">
        <v>293</v>
      </c>
      <c r="B76" s="12">
        <v>2</v>
      </c>
      <c r="C76" s="12">
        <v>2</v>
      </c>
      <c r="D76" s="12">
        <v>2</v>
      </c>
      <c r="E76" s="12">
        <v>3</v>
      </c>
      <c r="F76" s="12">
        <v>3</v>
      </c>
      <c r="G76" s="12">
        <v>3</v>
      </c>
      <c r="H76" s="71">
        <v>4</v>
      </c>
      <c r="I76" s="71">
        <v>2</v>
      </c>
      <c r="J76" s="12">
        <v>2</v>
      </c>
      <c r="K76" s="12">
        <v>2</v>
      </c>
      <c r="L76" s="12">
        <v>2</v>
      </c>
      <c r="M76" s="12">
        <v>2</v>
      </c>
      <c r="N76" s="12">
        <v>1</v>
      </c>
      <c r="O76" s="12">
        <v>4</v>
      </c>
      <c r="P76" s="12">
        <v>2</v>
      </c>
      <c r="Q76" s="12">
        <v>3</v>
      </c>
      <c r="R76" s="12">
        <v>3</v>
      </c>
      <c r="S76" s="12">
        <v>2</v>
      </c>
      <c r="T76" s="12">
        <v>2</v>
      </c>
      <c r="U76" s="12">
        <v>4</v>
      </c>
      <c r="V76" s="12">
        <v>2</v>
      </c>
      <c r="W76" s="12">
        <v>2</v>
      </c>
      <c r="X76" s="12">
        <v>2</v>
      </c>
      <c r="Y76" s="12">
        <v>2</v>
      </c>
      <c r="Z76" s="12">
        <v>2</v>
      </c>
      <c r="AA76" s="12">
        <v>4</v>
      </c>
      <c r="AB76" s="12">
        <v>2</v>
      </c>
      <c r="AC76" s="12">
        <v>4</v>
      </c>
      <c r="AD76" s="12">
        <v>2</v>
      </c>
      <c r="AE76" s="12">
        <v>2</v>
      </c>
      <c r="AF76" s="12">
        <v>3</v>
      </c>
      <c r="AG76" s="12">
        <v>4</v>
      </c>
      <c r="AH76" s="12">
        <v>3</v>
      </c>
      <c r="AI76" s="12">
        <v>3</v>
      </c>
      <c r="AJ76" s="12">
        <v>3</v>
      </c>
      <c r="AK76" s="12">
        <v>3</v>
      </c>
      <c r="AL76" s="12">
        <v>2</v>
      </c>
      <c r="AM76" s="12">
        <v>2</v>
      </c>
      <c r="AN76" s="12">
        <v>2</v>
      </c>
      <c r="AO76" s="12">
        <v>2</v>
      </c>
      <c r="AP76" s="12">
        <v>2</v>
      </c>
      <c r="AQ76" s="12">
        <v>2</v>
      </c>
      <c r="AR76" s="12">
        <v>2</v>
      </c>
      <c r="AS76" s="12">
        <v>3</v>
      </c>
      <c r="AT76" s="12">
        <v>2</v>
      </c>
      <c r="AU76" s="12">
        <v>2</v>
      </c>
      <c r="AV76" s="12">
        <v>2</v>
      </c>
      <c r="AW76" s="12">
        <v>3</v>
      </c>
      <c r="AX76" s="12">
        <v>2</v>
      </c>
      <c r="AY76" s="12">
        <v>4</v>
      </c>
      <c r="AZ76" s="12">
        <v>3</v>
      </c>
      <c r="BA76" s="12">
        <v>2</v>
      </c>
      <c r="BB76" s="12">
        <v>3</v>
      </c>
      <c r="BC76" s="12">
        <v>4</v>
      </c>
      <c r="BD76" s="12">
        <v>4</v>
      </c>
      <c r="BE76" s="12">
        <v>2</v>
      </c>
      <c r="BF76" s="12">
        <v>2</v>
      </c>
      <c r="BG76" s="12">
        <v>2</v>
      </c>
      <c r="BH76" s="12">
        <v>2</v>
      </c>
      <c r="BI76" s="12">
        <v>2</v>
      </c>
      <c r="BJ76" s="12">
        <v>2</v>
      </c>
      <c r="BK76" s="12">
        <v>2</v>
      </c>
      <c r="BL76" s="12">
        <v>4</v>
      </c>
      <c r="BM76" s="12">
        <v>3</v>
      </c>
      <c r="BN76" s="12">
        <v>4</v>
      </c>
      <c r="BO76" s="12">
        <v>3</v>
      </c>
      <c r="BP76" s="12">
        <v>3</v>
      </c>
      <c r="BQ76" s="12">
        <v>2</v>
      </c>
      <c r="BR76" s="12">
        <v>3</v>
      </c>
      <c r="BS76" s="12">
        <v>2</v>
      </c>
      <c r="BT76" s="12">
        <v>2</v>
      </c>
      <c r="BU76" s="12">
        <v>2</v>
      </c>
      <c r="BV76" s="12">
        <v>3</v>
      </c>
      <c r="BW76" s="12" t="s">
        <v>63</v>
      </c>
      <c r="BX76" s="12">
        <f>BW77</f>
        <v>2</v>
      </c>
      <c r="BY76" s="12">
        <f>BW78</f>
        <v>2</v>
      </c>
      <c r="BZ76" s="12">
        <f>BW79</f>
        <v>2</v>
      </c>
      <c r="CA76" s="12">
        <f>BW80</f>
        <v>2</v>
      </c>
      <c r="CB76" s="12">
        <f>BW81</f>
        <v>2</v>
      </c>
      <c r="CC76" s="12">
        <f>BW82</f>
        <v>3</v>
      </c>
      <c r="CD76" s="12">
        <f>BW83</f>
        <v>3</v>
      </c>
      <c r="CE76" s="12">
        <f>BW84</f>
        <v>4</v>
      </c>
      <c r="CF76" s="12">
        <f>BW85</f>
        <v>2</v>
      </c>
      <c r="CG76" s="12">
        <f>BW86</f>
        <v>4</v>
      </c>
      <c r="CH76" s="66">
        <f>BW87</f>
        <v>2</v>
      </c>
    </row>
    <row r="77" spans="1:86" ht="12.75" customHeight="1" x14ac:dyDescent="0.25">
      <c r="A77" s="11" t="s">
        <v>190</v>
      </c>
      <c r="B77" s="12">
        <v>2</v>
      </c>
      <c r="C77" s="12">
        <v>2</v>
      </c>
      <c r="D77" s="12">
        <v>2</v>
      </c>
      <c r="E77" s="12">
        <v>3</v>
      </c>
      <c r="F77" s="12">
        <v>3</v>
      </c>
      <c r="G77" s="12">
        <v>3</v>
      </c>
      <c r="H77" s="71">
        <v>4</v>
      </c>
      <c r="I77" s="71">
        <v>2</v>
      </c>
      <c r="J77" s="12">
        <v>2</v>
      </c>
      <c r="K77" s="12">
        <v>2</v>
      </c>
      <c r="L77" s="12">
        <v>2</v>
      </c>
      <c r="M77" s="12">
        <v>2</v>
      </c>
      <c r="N77" s="12">
        <v>1</v>
      </c>
      <c r="O77" s="12">
        <v>4</v>
      </c>
      <c r="P77" s="12">
        <v>2</v>
      </c>
      <c r="Q77" s="12">
        <v>3</v>
      </c>
      <c r="R77" s="12">
        <v>3</v>
      </c>
      <c r="S77" s="12">
        <v>2</v>
      </c>
      <c r="T77" s="12">
        <v>2</v>
      </c>
      <c r="U77" s="12">
        <v>4</v>
      </c>
      <c r="V77" s="12">
        <v>2</v>
      </c>
      <c r="W77" s="12">
        <v>2</v>
      </c>
      <c r="X77" s="12">
        <v>2</v>
      </c>
      <c r="Y77" s="12">
        <v>2</v>
      </c>
      <c r="Z77" s="12">
        <v>2</v>
      </c>
      <c r="AA77" s="12">
        <v>4</v>
      </c>
      <c r="AB77" s="12">
        <v>2</v>
      </c>
      <c r="AC77" s="12">
        <v>4</v>
      </c>
      <c r="AD77" s="12">
        <v>2</v>
      </c>
      <c r="AE77" s="12">
        <v>2</v>
      </c>
      <c r="AF77" s="12">
        <v>3</v>
      </c>
      <c r="AG77" s="12">
        <v>4</v>
      </c>
      <c r="AH77" s="12">
        <v>3</v>
      </c>
      <c r="AI77" s="12">
        <v>3</v>
      </c>
      <c r="AJ77" s="12">
        <v>3</v>
      </c>
      <c r="AK77" s="12">
        <v>3</v>
      </c>
      <c r="AL77" s="12">
        <v>2</v>
      </c>
      <c r="AM77" s="12">
        <v>2</v>
      </c>
      <c r="AN77" s="12">
        <v>2</v>
      </c>
      <c r="AO77" s="12">
        <v>2</v>
      </c>
      <c r="AP77" s="12">
        <v>2</v>
      </c>
      <c r="AQ77" s="12">
        <v>2</v>
      </c>
      <c r="AR77" s="12">
        <v>2</v>
      </c>
      <c r="AS77" s="12">
        <v>3</v>
      </c>
      <c r="AT77" s="12">
        <v>2</v>
      </c>
      <c r="AU77" s="12">
        <v>2</v>
      </c>
      <c r="AV77" s="12">
        <v>2</v>
      </c>
      <c r="AW77" s="12">
        <v>3</v>
      </c>
      <c r="AX77" s="12">
        <v>2</v>
      </c>
      <c r="AY77" s="12">
        <v>4</v>
      </c>
      <c r="AZ77" s="12">
        <v>3</v>
      </c>
      <c r="BA77" s="12">
        <v>2</v>
      </c>
      <c r="BB77" s="12">
        <v>3</v>
      </c>
      <c r="BC77" s="12">
        <v>4</v>
      </c>
      <c r="BD77" s="12">
        <v>4</v>
      </c>
      <c r="BE77" s="12">
        <v>2</v>
      </c>
      <c r="BF77" s="12">
        <v>2</v>
      </c>
      <c r="BG77" s="12">
        <v>2</v>
      </c>
      <c r="BH77" s="12">
        <v>2</v>
      </c>
      <c r="BI77" s="12">
        <v>2</v>
      </c>
      <c r="BJ77" s="12">
        <v>2</v>
      </c>
      <c r="BK77" s="12">
        <v>2</v>
      </c>
      <c r="BL77" s="12">
        <v>4</v>
      </c>
      <c r="BM77" s="12">
        <v>3</v>
      </c>
      <c r="BN77" s="12">
        <v>4</v>
      </c>
      <c r="BO77" s="12">
        <v>3</v>
      </c>
      <c r="BP77" s="12">
        <v>3</v>
      </c>
      <c r="BQ77" s="12">
        <v>2</v>
      </c>
      <c r="BR77" s="12">
        <v>3</v>
      </c>
      <c r="BS77" s="12">
        <v>2</v>
      </c>
      <c r="BT77" s="12">
        <v>2</v>
      </c>
      <c r="BU77" s="12">
        <v>2</v>
      </c>
      <c r="BV77" s="12">
        <v>3</v>
      </c>
      <c r="BW77" s="12">
        <v>2</v>
      </c>
      <c r="BX77" s="12" t="s">
        <v>63</v>
      </c>
      <c r="BY77" s="12">
        <f>BX78</f>
        <v>2</v>
      </c>
      <c r="BZ77" s="12">
        <f>BX79</f>
        <v>2</v>
      </c>
      <c r="CA77" s="12">
        <f>BX80</f>
        <v>2</v>
      </c>
      <c r="CB77" s="12">
        <f>BX81</f>
        <v>2</v>
      </c>
      <c r="CC77" s="12">
        <f>BX82</f>
        <v>3</v>
      </c>
      <c r="CD77" s="12">
        <f>BX83</f>
        <v>3</v>
      </c>
      <c r="CE77" s="12">
        <f>BX84</f>
        <v>4</v>
      </c>
      <c r="CF77" s="12">
        <f>BX85</f>
        <v>2</v>
      </c>
      <c r="CG77" s="12">
        <f>BX86</f>
        <v>4</v>
      </c>
      <c r="CH77" s="66">
        <f>BX87</f>
        <v>2</v>
      </c>
    </row>
    <row r="78" spans="1:86" ht="12.75" customHeight="1" x14ac:dyDescent="0.25">
      <c r="A78" s="11" t="s">
        <v>55</v>
      </c>
      <c r="B78" s="12">
        <v>2</v>
      </c>
      <c r="C78" s="12">
        <v>2</v>
      </c>
      <c r="D78" s="12">
        <v>2</v>
      </c>
      <c r="E78" s="12">
        <v>3</v>
      </c>
      <c r="F78" s="12">
        <v>3</v>
      </c>
      <c r="G78" s="12">
        <v>3</v>
      </c>
      <c r="H78" s="71">
        <v>3</v>
      </c>
      <c r="I78" s="71">
        <v>2</v>
      </c>
      <c r="J78" s="12">
        <v>2</v>
      </c>
      <c r="K78" s="12">
        <v>2</v>
      </c>
      <c r="L78" s="12">
        <v>2</v>
      </c>
      <c r="M78" s="12">
        <v>2</v>
      </c>
      <c r="N78" s="12">
        <v>1</v>
      </c>
      <c r="O78" s="12">
        <v>3</v>
      </c>
      <c r="P78" s="12">
        <v>2</v>
      </c>
      <c r="Q78" s="12">
        <v>3</v>
      </c>
      <c r="R78" s="12">
        <v>3</v>
      </c>
      <c r="S78" s="12">
        <v>2</v>
      </c>
      <c r="T78" s="12">
        <v>2</v>
      </c>
      <c r="U78" s="12">
        <v>3</v>
      </c>
      <c r="V78" s="12">
        <v>2</v>
      </c>
      <c r="W78" s="12">
        <v>2</v>
      </c>
      <c r="X78" s="12">
        <v>3</v>
      </c>
      <c r="Y78" s="12">
        <v>2</v>
      </c>
      <c r="Z78" s="12">
        <v>2</v>
      </c>
      <c r="AA78" s="12">
        <v>3</v>
      </c>
      <c r="AB78" s="12">
        <v>2</v>
      </c>
      <c r="AC78" s="12">
        <v>3</v>
      </c>
      <c r="AD78" s="12">
        <v>2</v>
      </c>
      <c r="AE78" s="12">
        <v>2</v>
      </c>
      <c r="AF78" s="12">
        <v>3</v>
      </c>
      <c r="AG78" s="12">
        <v>3</v>
      </c>
      <c r="AH78" s="12">
        <v>3</v>
      </c>
      <c r="AI78" s="12">
        <v>3</v>
      </c>
      <c r="AJ78" s="12">
        <v>3</v>
      </c>
      <c r="AK78" s="12">
        <v>2</v>
      </c>
      <c r="AL78" s="12">
        <v>3</v>
      </c>
      <c r="AM78" s="12">
        <v>2</v>
      </c>
      <c r="AN78" s="12">
        <v>2</v>
      </c>
      <c r="AO78" s="12">
        <v>2</v>
      </c>
      <c r="AP78" s="12">
        <v>2</v>
      </c>
      <c r="AQ78" s="12">
        <v>2</v>
      </c>
      <c r="AR78" s="12">
        <v>2</v>
      </c>
      <c r="AS78" s="12">
        <v>1</v>
      </c>
      <c r="AT78" s="12">
        <v>2</v>
      </c>
      <c r="AU78" s="12">
        <v>2</v>
      </c>
      <c r="AV78" s="12">
        <v>2</v>
      </c>
      <c r="AW78" s="12">
        <v>3</v>
      </c>
      <c r="AX78" s="12">
        <v>2</v>
      </c>
      <c r="AY78" s="12">
        <v>3</v>
      </c>
      <c r="AZ78" s="12">
        <v>3</v>
      </c>
      <c r="BA78" s="12">
        <v>2</v>
      </c>
      <c r="BB78" s="12">
        <v>3</v>
      </c>
      <c r="BC78" s="12">
        <v>3</v>
      </c>
      <c r="BD78" s="12">
        <v>3</v>
      </c>
      <c r="BE78" s="12">
        <v>1</v>
      </c>
      <c r="BF78" s="12">
        <v>2</v>
      </c>
      <c r="BG78" s="12">
        <v>2</v>
      </c>
      <c r="BH78" s="12">
        <v>2</v>
      </c>
      <c r="BI78" s="12">
        <v>2</v>
      </c>
      <c r="BJ78" s="12">
        <v>2</v>
      </c>
      <c r="BK78" s="12">
        <v>2</v>
      </c>
      <c r="BL78" s="12">
        <v>3</v>
      </c>
      <c r="BM78" s="12">
        <v>3</v>
      </c>
      <c r="BN78" s="12">
        <v>3</v>
      </c>
      <c r="BO78" s="12">
        <v>3</v>
      </c>
      <c r="BP78" s="12">
        <v>3</v>
      </c>
      <c r="BQ78" s="12">
        <v>2</v>
      </c>
      <c r="BR78" s="12">
        <v>3</v>
      </c>
      <c r="BS78" s="12">
        <v>2</v>
      </c>
      <c r="BT78" s="12">
        <v>2</v>
      </c>
      <c r="BU78" s="12">
        <v>2</v>
      </c>
      <c r="BV78" s="12">
        <v>3</v>
      </c>
      <c r="BW78" s="12">
        <v>2</v>
      </c>
      <c r="BX78" s="12">
        <v>2</v>
      </c>
      <c r="BY78" s="12" t="s">
        <v>63</v>
      </c>
      <c r="BZ78" s="12">
        <f>BY79</f>
        <v>2</v>
      </c>
      <c r="CA78" s="12">
        <f>BY80</f>
        <v>2</v>
      </c>
      <c r="CB78" s="12">
        <f>BY81</f>
        <v>2</v>
      </c>
      <c r="CC78" s="12">
        <f>BY82</f>
        <v>3</v>
      </c>
      <c r="CD78" s="12">
        <f>BY83</f>
        <v>3</v>
      </c>
      <c r="CE78" s="12">
        <f>BY84</f>
        <v>3</v>
      </c>
      <c r="CF78" s="12">
        <f>BY85</f>
        <v>1</v>
      </c>
      <c r="CG78" s="12">
        <f>BY86</f>
        <v>3</v>
      </c>
      <c r="CH78" s="66">
        <f>BY87</f>
        <v>3</v>
      </c>
    </row>
    <row r="79" spans="1:86" ht="12.75" customHeight="1" x14ac:dyDescent="0.25">
      <c r="A79" s="11" t="s">
        <v>26</v>
      </c>
      <c r="B79" s="12">
        <v>2</v>
      </c>
      <c r="C79" s="12">
        <v>2</v>
      </c>
      <c r="D79" s="12">
        <v>2</v>
      </c>
      <c r="E79" s="12">
        <v>3</v>
      </c>
      <c r="F79" s="12">
        <v>1</v>
      </c>
      <c r="G79" s="12">
        <v>3</v>
      </c>
      <c r="H79" s="71">
        <v>3</v>
      </c>
      <c r="I79" s="71">
        <v>1</v>
      </c>
      <c r="J79" s="12">
        <v>1</v>
      </c>
      <c r="K79" s="12">
        <v>2</v>
      </c>
      <c r="L79" s="12">
        <v>2</v>
      </c>
      <c r="M79" s="12">
        <v>2</v>
      </c>
      <c r="N79" s="12">
        <v>1</v>
      </c>
      <c r="O79" s="12">
        <v>3</v>
      </c>
      <c r="P79" s="12">
        <v>2</v>
      </c>
      <c r="Q79" s="12">
        <v>3</v>
      </c>
      <c r="R79" s="12">
        <v>3</v>
      </c>
      <c r="S79" s="12">
        <v>1</v>
      </c>
      <c r="T79" s="12">
        <v>2</v>
      </c>
      <c r="U79" s="12">
        <v>3</v>
      </c>
      <c r="V79" s="12">
        <v>2</v>
      </c>
      <c r="W79" s="12">
        <v>2</v>
      </c>
      <c r="X79" s="12">
        <v>3</v>
      </c>
      <c r="Y79" s="12">
        <v>2</v>
      </c>
      <c r="Z79" s="12">
        <v>2</v>
      </c>
      <c r="AA79" s="12">
        <v>3</v>
      </c>
      <c r="AB79" s="12">
        <v>2</v>
      </c>
      <c r="AC79" s="12">
        <v>3</v>
      </c>
      <c r="AD79" s="12">
        <v>2</v>
      </c>
      <c r="AE79" s="12">
        <v>2</v>
      </c>
      <c r="AF79" s="12">
        <v>3</v>
      </c>
      <c r="AG79" s="12">
        <v>3</v>
      </c>
      <c r="AH79" s="12">
        <v>3</v>
      </c>
      <c r="AI79" s="12">
        <v>3</v>
      </c>
      <c r="AJ79" s="12">
        <v>3</v>
      </c>
      <c r="AK79" s="12">
        <v>2</v>
      </c>
      <c r="AL79" s="12">
        <v>3</v>
      </c>
      <c r="AM79" s="12">
        <v>2</v>
      </c>
      <c r="AN79" s="12">
        <v>2</v>
      </c>
      <c r="AO79" s="12">
        <v>3</v>
      </c>
      <c r="AP79" s="12">
        <v>2</v>
      </c>
      <c r="AQ79" s="12">
        <v>2</v>
      </c>
      <c r="AR79" s="12">
        <v>2</v>
      </c>
      <c r="AS79" s="12">
        <v>3</v>
      </c>
      <c r="AT79" s="12">
        <v>2</v>
      </c>
      <c r="AU79" s="12">
        <v>2</v>
      </c>
      <c r="AV79" s="12">
        <v>2</v>
      </c>
      <c r="AW79" s="12">
        <v>3</v>
      </c>
      <c r="AX79" s="12">
        <v>2</v>
      </c>
      <c r="AY79" s="12">
        <v>3</v>
      </c>
      <c r="AZ79" s="12">
        <v>2</v>
      </c>
      <c r="BA79" s="12">
        <v>2</v>
      </c>
      <c r="BB79" s="12">
        <v>3</v>
      </c>
      <c r="BC79" s="12">
        <v>3</v>
      </c>
      <c r="BD79" s="12">
        <v>3</v>
      </c>
      <c r="BE79" s="12">
        <v>1</v>
      </c>
      <c r="BF79" s="12">
        <v>2</v>
      </c>
      <c r="BG79" s="12">
        <v>2</v>
      </c>
      <c r="BH79" s="12">
        <v>2</v>
      </c>
      <c r="BI79" s="12">
        <v>2</v>
      </c>
      <c r="BJ79" s="12">
        <v>2</v>
      </c>
      <c r="BK79" s="12">
        <v>2</v>
      </c>
      <c r="BL79" s="12">
        <v>3</v>
      </c>
      <c r="BM79" s="12">
        <v>3</v>
      </c>
      <c r="BN79" s="12">
        <v>3</v>
      </c>
      <c r="BO79" s="12">
        <v>3</v>
      </c>
      <c r="BP79" s="12">
        <v>3</v>
      </c>
      <c r="BQ79" s="12">
        <v>2</v>
      </c>
      <c r="BR79" s="12">
        <v>3</v>
      </c>
      <c r="BS79" s="12">
        <v>3</v>
      </c>
      <c r="BT79" s="12">
        <v>2</v>
      </c>
      <c r="BU79" s="12">
        <v>2</v>
      </c>
      <c r="BV79" s="12">
        <v>3</v>
      </c>
      <c r="BW79" s="12">
        <v>2</v>
      </c>
      <c r="BX79" s="12">
        <v>2</v>
      </c>
      <c r="BY79" s="12">
        <v>2</v>
      </c>
      <c r="BZ79" s="12" t="s">
        <v>63</v>
      </c>
      <c r="CA79" s="12">
        <f>BZ80</f>
        <v>2</v>
      </c>
      <c r="CB79" s="12">
        <f>BZ81</f>
        <v>2</v>
      </c>
      <c r="CC79" s="12">
        <f>BZ82</f>
        <v>3</v>
      </c>
      <c r="CD79" s="12">
        <f>BZ83</f>
        <v>3</v>
      </c>
      <c r="CE79" s="12">
        <f>BZ84</f>
        <v>3</v>
      </c>
      <c r="CF79" s="12">
        <f>BZ85</f>
        <v>2</v>
      </c>
      <c r="CG79" s="12">
        <f>BZ86</f>
        <v>3</v>
      </c>
      <c r="CH79" s="15">
        <f>BZ87</f>
        <v>3</v>
      </c>
    </row>
    <row r="80" spans="1:86" ht="12.75" customHeight="1" x14ac:dyDescent="0.25">
      <c r="A80" s="11" t="s">
        <v>27</v>
      </c>
      <c r="B80" s="12">
        <v>2</v>
      </c>
      <c r="C80" s="12">
        <v>2</v>
      </c>
      <c r="D80" s="12">
        <v>2</v>
      </c>
      <c r="E80" s="12">
        <v>2</v>
      </c>
      <c r="F80" s="12">
        <v>3</v>
      </c>
      <c r="G80" s="12">
        <v>3</v>
      </c>
      <c r="H80" s="71">
        <v>3</v>
      </c>
      <c r="I80" s="71">
        <v>2</v>
      </c>
      <c r="J80" s="12">
        <v>2</v>
      </c>
      <c r="K80" s="12">
        <v>2</v>
      </c>
      <c r="L80" s="12">
        <v>2</v>
      </c>
      <c r="M80" s="12">
        <v>2</v>
      </c>
      <c r="N80" s="12">
        <v>1</v>
      </c>
      <c r="O80" s="12">
        <v>2</v>
      </c>
      <c r="P80" s="12">
        <v>2</v>
      </c>
      <c r="Q80" s="12">
        <v>3</v>
      </c>
      <c r="R80" s="12">
        <v>2</v>
      </c>
      <c r="S80" s="12">
        <v>2</v>
      </c>
      <c r="T80" s="12">
        <v>2</v>
      </c>
      <c r="U80" s="12">
        <v>3</v>
      </c>
      <c r="V80" s="12">
        <v>2</v>
      </c>
      <c r="W80" s="12">
        <v>2</v>
      </c>
      <c r="X80" s="12">
        <v>3</v>
      </c>
      <c r="Y80" s="12">
        <v>2</v>
      </c>
      <c r="Z80" s="12">
        <v>2</v>
      </c>
      <c r="AA80" s="12">
        <v>3</v>
      </c>
      <c r="AB80" s="12">
        <v>2</v>
      </c>
      <c r="AC80" s="12">
        <v>3</v>
      </c>
      <c r="AD80" s="12">
        <v>2</v>
      </c>
      <c r="AE80" s="12">
        <v>2</v>
      </c>
      <c r="AF80" s="12">
        <v>2</v>
      </c>
      <c r="AG80" s="12">
        <v>3</v>
      </c>
      <c r="AH80" s="12">
        <v>3</v>
      </c>
      <c r="AI80" s="12">
        <v>3</v>
      </c>
      <c r="AJ80" s="12">
        <v>3</v>
      </c>
      <c r="AK80" s="12">
        <v>2</v>
      </c>
      <c r="AL80" s="12">
        <v>3</v>
      </c>
      <c r="AM80" s="12">
        <v>2</v>
      </c>
      <c r="AN80" s="12">
        <v>2</v>
      </c>
      <c r="AO80" s="12">
        <v>3</v>
      </c>
      <c r="AP80" s="12">
        <v>1</v>
      </c>
      <c r="AQ80" s="12">
        <v>2</v>
      </c>
      <c r="AR80" s="12">
        <v>2</v>
      </c>
      <c r="AS80" s="12">
        <v>3</v>
      </c>
      <c r="AT80" s="12">
        <v>2</v>
      </c>
      <c r="AU80" s="12">
        <v>2</v>
      </c>
      <c r="AV80" s="12">
        <v>2</v>
      </c>
      <c r="AW80" s="12">
        <v>3</v>
      </c>
      <c r="AX80" s="12">
        <v>2</v>
      </c>
      <c r="AY80" s="12">
        <v>3</v>
      </c>
      <c r="AZ80" s="12">
        <v>3</v>
      </c>
      <c r="BA80" s="12">
        <v>2</v>
      </c>
      <c r="BB80" s="12">
        <v>3</v>
      </c>
      <c r="BC80" s="12">
        <v>3</v>
      </c>
      <c r="BD80" s="12">
        <v>3</v>
      </c>
      <c r="BE80" s="12">
        <v>1</v>
      </c>
      <c r="BF80" s="12">
        <v>2</v>
      </c>
      <c r="BG80" s="12">
        <v>2</v>
      </c>
      <c r="BH80" s="12">
        <v>2</v>
      </c>
      <c r="BI80" s="12">
        <v>2</v>
      </c>
      <c r="BJ80" s="12">
        <v>2</v>
      </c>
      <c r="BK80" s="12">
        <v>2</v>
      </c>
      <c r="BL80" s="12">
        <v>2</v>
      </c>
      <c r="BM80" s="12">
        <v>3</v>
      </c>
      <c r="BN80" s="12">
        <v>3</v>
      </c>
      <c r="BO80" s="12">
        <v>3</v>
      </c>
      <c r="BP80" s="12">
        <v>3</v>
      </c>
      <c r="BQ80" s="12">
        <v>1</v>
      </c>
      <c r="BR80" s="12">
        <v>2</v>
      </c>
      <c r="BS80" s="12">
        <v>3</v>
      </c>
      <c r="BT80" s="12">
        <v>2</v>
      </c>
      <c r="BU80" s="12">
        <v>2</v>
      </c>
      <c r="BV80" s="12">
        <v>3</v>
      </c>
      <c r="BW80" s="12">
        <v>2</v>
      </c>
      <c r="BX80" s="12">
        <v>2</v>
      </c>
      <c r="BY80" s="12">
        <v>2</v>
      </c>
      <c r="BZ80" s="12">
        <v>2</v>
      </c>
      <c r="CA80" s="12" t="s">
        <v>63</v>
      </c>
      <c r="CB80" s="12">
        <f>CA81</f>
        <v>2</v>
      </c>
      <c r="CC80" s="12">
        <f>CA82</f>
        <v>3</v>
      </c>
      <c r="CD80" s="12">
        <f>CA83</f>
        <v>3</v>
      </c>
      <c r="CE80" s="12">
        <f>CA84</f>
        <v>2</v>
      </c>
      <c r="CF80" s="12">
        <f>CA85</f>
        <v>2</v>
      </c>
      <c r="CG80" s="12">
        <f>CA86</f>
        <v>3</v>
      </c>
      <c r="CH80" s="15">
        <f>CA87</f>
        <v>3</v>
      </c>
    </row>
    <row r="81" spans="1:86" ht="12.75" customHeight="1" x14ac:dyDescent="0.25">
      <c r="A81" s="11" t="s">
        <v>297</v>
      </c>
      <c r="B81" s="12">
        <v>2</v>
      </c>
      <c r="C81" s="12">
        <v>2</v>
      </c>
      <c r="D81" s="12">
        <v>2</v>
      </c>
      <c r="E81" s="12">
        <v>3</v>
      </c>
      <c r="F81" s="12">
        <v>3</v>
      </c>
      <c r="G81" s="12">
        <v>3</v>
      </c>
      <c r="H81" s="71">
        <v>4</v>
      </c>
      <c r="I81" s="71">
        <v>2</v>
      </c>
      <c r="J81" s="12">
        <v>2</v>
      </c>
      <c r="K81" s="12">
        <v>2</v>
      </c>
      <c r="L81" s="12">
        <v>2</v>
      </c>
      <c r="M81" s="12">
        <v>2</v>
      </c>
      <c r="N81" s="12">
        <v>1</v>
      </c>
      <c r="O81" s="12">
        <v>4</v>
      </c>
      <c r="P81" s="12">
        <v>2</v>
      </c>
      <c r="Q81" s="12">
        <v>3</v>
      </c>
      <c r="R81" s="12">
        <v>3</v>
      </c>
      <c r="S81" s="12">
        <v>2</v>
      </c>
      <c r="T81" s="12">
        <v>2</v>
      </c>
      <c r="U81" s="12">
        <v>4</v>
      </c>
      <c r="V81" s="12">
        <v>2</v>
      </c>
      <c r="W81" s="12">
        <v>2</v>
      </c>
      <c r="X81" s="12">
        <v>2</v>
      </c>
      <c r="Y81" s="12">
        <v>2</v>
      </c>
      <c r="Z81" s="12">
        <v>2</v>
      </c>
      <c r="AA81" s="12">
        <v>4</v>
      </c>
      <c r="AB81" s="12">
        <v>2</v>
      </c>
      <c r="AC81" s="12">
        <v>4</v>
      </c>
      <c r="AD81" s="12">
        <v>2</v>
      </c>
      <c r="AE81" s="12">
        <v>2</v>
      </c>
      <c r="AF81" s="12">
        <v>3</v>
      </c>
      <c r="AG81" s="12">
        <v>4</v>
      </c>
      <c r="AH81" s="12">
        <v>3</v>
      </c>
      <c r="AI81" s="12">
        <v>3</v>
      </c>
      <c r="AJ81" s="12">
        <v>3</v>
      </c>
      <c r="AK81" s="12">
        <v>3</v>
      </c>
      <c r="AL81" s="12">
        <v>2</v>
      </c>
      <c r="AM81" s="12">
        <v>2</v>
      </c>
      <c r="AN81" s="12">
        <v>2</v>
      </c>
      <c r="AO81" s="12">
        <v>2</v>
      </c>
      <c r="AP81" s="12">
        <v>2</v>
      </c>
      <c r="AQ81" s="12">
        <v>2</v>
      </c>
      <c r="AR81" s="12">
        <v>2</v>
      </c>
      <c r="AS81" s="12">
        <v>3</v>
      </c>
      <c r="AT81" s="12">
        <v>2</v>
      </c>
      <c r="AU81" s="12">
        <v>2</v>
      </c>
      <c r="AV81" s="12">
        <v>2</v>
      </c>
      <c r="AW81" s="12">
        <v>3</v>
      </c>
      <c r="AX81" s="12">
        <v>2</v>
      </c>
      <c r="AY81" s="12">
        <v>4</v>
      </c>
      <c r="AZ81" s="12">
        <v>3</v>
      </c>
      <c r="BA81" s="12">
        <v>2</v>
      </c>
      <c r="BB81" s="12">
        <v>3</v>
      </c>
      <c r="BC81" s="12">
        <v>4</v>
      </c>
      <c r="BD81" s="12">
        <v>4</v>
      </c>
      <c r="BE81" s="12">
        <v>2</v>
      </c>
      <c r="BF81" s="12">
        <v>2</v>
      </c>
      <c r="BG81" s="12">
        <v>2</v>
      </c>
      <c r="BH81" s="12">
        <v>2</v>
      </c>
      <c r="BI81" s="12">
        <v>2</v>
      </c>
      <c r="BJ81" s="12">
        <v>2</v>
      </c>
      <c r="BK81" s="12">
        <v>2</v>
      </c>
      <c r="BL81" s="12">
        <v>4</v>
      </c>
      <c r="BM81" s="12">
        <v>3</v>
      </c>
      <c r="BN81" s="12">
        <v>4</v>
      </c>
      <c r="BO81" s="12">
        <v>3</v>
      </c>
      <c r="BP81" s="12">
        <v>3</v>
      </c>
      <c r="BQ81" s="12">
        <v>2</v>
      </c>
      <c r="BR81" s="12">
        <v>3</v>
      </c>
      <c r="BS81" s="12">
        <v>2</v>
      </c>
      <c r="BT81" s="12">
        <v>2</v>
      </c>
      <c r="BU81" s="12">
        <v>2</v>
      </c>
      <c r="BV81" s="12">
        <v>3</v>
      </c>
      <c r="BW81" s="12">
        <v>2</v>
      </c>
      <c r="BX81" s="12">
        <v>2</v>
      </c>
      <c r="BY81" s="12">
        <v>2</v>
      </c>
      <c r="BZ81" s="12">
        <v>2</v>
      </c>
      <c r="CA81" s="12">
        <v>2</v>
      </c>
      <c r="CB81" s="12" t="s">
        <v>63</v>
      </c>
      <c r="CC81" s="12">
        <f>CB82</f>
        <v>3</v>
      </c>
      <c r="CD81" s="12">
        <f>CB83</f>
        <v>3</v>
      </c>
      <c r="CE81" s="12">
        <f>CB84</f>
        <v>4</v>
      </c>
      <c r="CF81" s="12">
        <f>CB85</f>
        <v>2</v>
      </c>
      <c r="CG81" s="12">
        <f>CB86</f>
        <v>4</v>
      </c>
      <c r="CH81" s="66">
        <f>CB87</f>
        <v>2</v>
      </c>
    </row>
    <row r="82" spans="1:86" ht="12.75" customHeight="1" x14ac:dyDescent="0.25">
      <c r="A82" s="11" t="s">
        <v>35</v>
      </c>
      <c r="B82" s="12">
        <v>3</v>
      </c>
      <c r="C82" s="12">
        <v>3</v>
      </c>
      <c r="D82" s="12">
        <v>3</v>
      </c>
      <c r="E82" s="12">
        <v>4</v>
      </c>
      <c r="F82" s="12">
        <v>4</v>
      </c>
      <c r="G82" s="12">
        <v>4</v>
      </c>
      <c r="H82" s="71">
        <v>4</v>
      </c>
      <c r="I82" s="71">
        <v>3</v>
      </c>
      <c r="J82" s="12">
        <v>1</v>
      </c>
      <c r="K82" s="12">
        <v>3</v>
      </c>
      <c r="L82" s="12">
        <v>3</v>
      </c>
      <c r="M82" s="12">
        <v>3</v>
      </c>
      <c r="N82" s="12">
        <v>2</v>
      </c>
      <c r="O82" s="12">
        <v>4</v>
      </c>
      <c r="P82" s="12">
        <v>3</v>
      </c>
      <c r="Q82" s="12">
        <v>4</v>
      </c>
      <c r="R82" s="12">
        <v>4</v>
      </c>
      <c r="S82" s="12">
        <v>2</v>
      </c>
      <c r="T82" s="12">
        <v>3</v>
      </c>
      <c r="U82" s="12">
        <v>4</v>
      </c>
      <c r="V82" s="12">
        <v>3</v>
      </c>
      <c r="W82" s="12">
        <v>3</v>
      </c>
      <c r="X82" s="12">
        <v>4</v>
      </c>
      <c r="Y82" s="12">
        <v>3</v>
      </c>
      <c r="Z82" s="12">
        <v>3</v>
      </c>
      <c r="AA82" s="12">
        <v>4</v>
      </c>
      <c r="AB82" s="12">
        <v>3</v>
      </c>
      <c r="AC82" s="12">
        <v>4</v>
      </c>
      <c r="AD82" s="12">
        <v>3</v>
      </c>
      <c r="AE82" s="12">
        <v>3</v>
      </c>
      <c r="AF82" s="12">
        <v>4</v>
      </c>
      <c r="AG82" s="12">
        <v>4</v>
      </c>
      <c r="AH82" s="12">
        <v>4</v>
      </c>
      <c r="AI82" s="12">
        <v>4</v>
      </c>
      <c r="AJ82" s="12">
        <v>4</v>
      </c>
      <c r="AK82" s="12">
        <v>3</v>
      </c>
      <c r="AL82" s="12">
        <v>4</v>
      </c>
      <c r="AM82" s="12">
        <v>3</v>
      </c>
      <c r="AN82" s="12">
        <v>3</v>
      </c>
      <c r="AO82" s="12">
        <v>4</v>
      </c>
      <c r="AP82" s="12">
        <v>3</v>
      </c>
      <c r="AQ82" s="12">
        <v>3</v>
      </c>
      <c r="AR82" s="12">
        <v>3</v>
      </c>
      <c r="AS82" s="12">
        <v>4</v>
      </c>
      <c r="AT82" s="12">
        <v>3</v>
      </c>
      <c r="AU82" s="12">
        <v>3</v>
      </c>
      <c r="AV82" s="12">
        <v>3</v>
      </c>
      <c r="AW82" s="12">
        <v>4</v>
      </c>
      <c r="AX82" s="12">
        <v>3</v>
      </c>
      <c r="AY82" s="12">
        <v>4</v>
      </c>
      <c r="AZ82" s="12">
        <v>4</v>
      </c>
      <c r="BA82" s="12">
        <v>3</v>
      </c>
      <c r="BB82" s="12">
        <v>4</v>
      </c>
      <c r="BC82" s="12">
        <v>4</v>
      </c>
      <c r="BD82" s="12">
        <v>4</v>
      </c>
      <c r="BE82" s="12">
        <v>2</v>
      </c>
      <c r="BF82" s="12">
        <v>3</v>
      </c>
      <c r="BG82" s="12">
        <v>3</v>
      </c>
      <c r="BH82" s="12">
        <v>3</v>
      </c>
      <c r="BI82" s="12">
        <v>3</v>
      </c>
      <c r="BJ82" s="12">
        <v>3</v>
      </c>
      <c r="BK82" s="12">
        <v>3</v>
      </c>
      <c r="BL82" s="12">
        <v>4</v>
      </c>
      <c r="BM82" s="12">
        <v>4</v>
      </c>
      <c r="BN82" s="12">
        <v>4</v>
      </c>
      <c r="BO82" s="12">
        <v>4</v>
      </c>
      <c r="BP82" s="12">
        <v>4</v>
      </c>
      <c r="BQ82" s="12">
        <v>3</v>
      </c>
      <c r="BR82" s="12">
        <v>4</v>
      </c>
      <c r="BS82" s="12">
        <v>4</v>
      </c>
      <c r="BT82" s="12">
        <v>3</v>
      </c>
      <c r="BU82" s="12">
        <v>3</v>
      </c>
      <c r="BV82" s="12">
        <v>4</v>
      </c>
      <c r="BW82" s="12">
        <v>3</v>
      </c>
      <c r="BX82" s="12">
        <v>3</v>
      </c>
      <c r="BY82" s="12">
        <v>3</v>
      </c>
      <c r="BZ82" s="12">
        <v>3</v>
      </c>
      <c r="CA82" s="12">
        <v>3</v>
      </c>
      <c r="CB82" s="12">
        <v>3</v>
      </c>
      <c r="CC82" s="12" t="s">
        <v>63</v>
      </c>
      <c r="CD82" s="12">
        <f>CC83</f>
        <v>4</v>
      </c>
      <c r="CE82" s="12">
        <f>CC84</f>
        <v>4</v>
      </c>
      <c r="CF82" s="12">
        <f>CC85</f>
        <v>3</v>
      </c>
      <c r="CG82" s="12">
        <f>CC86</f>
        <v>4</v>
      </c>
      <c r="CH82" s="66">
        <f>CC87</f>
        <v>3</v>
      </c>
    </row>
    <row r="83" spans="1:86" ht="12.75" customHeight="1" x14ac:dyDescent="0.25">
      <c r="A83" s="11" t="s">
        <v>39</v>
      </c>
      <c r="B83" s="12">
        <v>3</v>
      </c>
      <c r="C83" s="12">
        <v>3</v>
      </c>
      <c r="D83" s="12">
        <v>3</v>
      </c>
      <c r="E83" s="12">
        <v>4</v>
      </c>
      <c r="F83" s="12">
        <v>4</v>
      </c>
      <c r="G83" s="12">
        <v>4</v>
      </c>
      <c r="H83" s="71">
        <v>4</v>
      </c>
      <c r="I83" s="71">
        <v>3</v>
      </c>
      <c r="J83" s="12">
        <v>3</v>
      </c>
      <c r="K83" s="12">
        <v>3</v>
      </c>
      <c r="L83" s="12">
        <v>3</v>
      </c>
      <c r="M83" s="12">
        <v>3</v>
      </c>
      <c r="N83" s="12">
        <v>2</v>
      </c>
      <c r="O83" s="12">
        <v>4</v>
      </c>
      <c r="P83" s="12">
        <v>3</v>
      </c>
      <c r="Q83" s="12">
        <v>4</v>
      </c>
      <c r="R83" s="12">
        <v>4</v>
      </c>
      <c r="S83" s="12">
        <v>3</v>
      </c>
      <c r="T83" s="12">
        <v>3</v>
      </c>
      <c r="U83" s="12">
        <v>4</v>
      </c>
      <c r="V83" s="12">
        <v>3</v>
      </c>
      <c r="W83" s="12">
        <v>3</v>
      </c>
      <c r="X83" s="12">
        <v>4</v>
      </c>
      <c r="Y83" s="12">
        <v>3</v>
      </c>
      <c r="Z83" s="12">
        <v>3</v>
      </c>
      <c r="AA83" s="12">
        <v>4</v>
      </c>
      <c r="AB83" s="12">
        <v>3</v>
      </c>
      <c r="AC83" s="12">
        <v>4</v>
      </c>
      <c r="AD83" s="12">
        <v>3</v>
      </c>
      <c r="AE83" s="12">
        <v>3</v>
      </c>
      <c r="AF83" s="12">
        <v>4</v>
      </c>
      <c r="AG83" s="12">
        <v>3</v>
      </c>
      <c r="AH83" s="12">
        <v>4</v>
      </c>
      <c r="AI83" s="12">
        <v>3</v>
      </c>
      <c r="AJ83" s="12">
        <v>4</v>
      </c>
      <c r="AK83" s="12">
        <v>3</v>
      </c>
      <c r="AL83" s="12">
        <v>4</v>
      </c>
      <c r="AM83" s="12">
        <v>3</v>
      </c>
      <c r="AN83" s="12">
        <v>3</v>
      </c>
      <c r="AO83" s="12">
        <v>4</v>
      </c>
      <c r="AP83" s="12">
        <v>1</v>
      </c>
      <c r="AQ83" s="12">
        <v>3</v>
      </c>
      <c r="AR83" s="12">
        <v>3</v>
      </c>
      <c r="AS83" s="12">
        <v>4</v>
      </c>
      <c r="AT83" s="12">
        <v>3</v>
      </c>
      <c r="AU83" s="12">
        <v>3</v>
      </c>
      <c r="AV83" s="12">
        <v>3</v>
      </c>
      <c r="AW83" s="12">
        <v>4</v>
      </c>
      <c r="AX83" s="12">
        <v>3</v>
      </c>
      <c r="AY83" s="12">
        <v>4</v>
      </c>
      <c r="AZ83" s="12">
        <v>4</v>
      </c>
      <c r="BA83" s="12">
        <v>3</v>
      </c>
      <c r="BB83" s="12">
        <v>4</v>
      </c>
      <c r="BC83" s="12">
        <v>4</v>
      </c>
      <c r="BD83" s="12">
        <v>4</v>
      </c>
      <c r="BE83" s="12">
        <v>2</v>
      </c>
      <c r="BF83" s="12">
        <v>3</v>
      </c>
      <c r="BG83" s="12">
        <v>3</v>
      </c>
      <c r="BH83" s="12">
        <v>3</v>
      </c>
      <c r="BI83" s="12">
        <v>3</v>
      </c>
      <c r="BJ83" s="12">
        <v>3</v>
      </c>
      <c r="BK83" s="12">
        <v>3</v>
      </c>
      <c r="BL83" s="12">
        <v>4</v>
      </c>
      <c r="BM83" s="12">
        <v>4</v>
      </c>
      <c r="BN83" s="12">
        <v>4</v>
      </c>
      <c r="BO83" s="12">
        <v>3</v>
      </c>
      <c r="BP83" s="12">
        <v>3</v>
      </c>
      <c r="BQ83" s="12">
        <v>3</v>
      </c>
      <c r="BR83" s="12">
        <v>4</v>
      </c>
      <c r="BS83" s="12">
        <v>4</v>
      </c>
      <c r="BT83" s="12">
        <v>3</v>
      </c>
      <c r="BU83" s="12">
        <v>3</v>
      </c>
      <c r="BV83" s="12">
        <v>2</v>
      </c>
      <c r="BW83" s="12">
        <v>3</v>
      </c>
      <c r="BX83" s="12">
        <v>3</v>
      </c>
      <c r="BY83" s="12">
        <v>3</v>
      </c>
      <c r="BZ83" s="12">
        <v>3</v>
      </c>
      <c r="CA83" s="12">
        <v>3</v>
      </c>
      <c r="CB83" s="12">
        <v>3</v>
      </c>
      <c r="CC83" s="12">
        <v>4</v>
      </c>
      <c r="CD83" s="12" t="s">
        <v>63</v>
      </c>
      <c r="CE83" s="12">
        <f>CD84</f>
        <v>4</v>
      </c>
      <c r="CF83" s="12">
        <f>CD85</f>
        <v>3</v>
      </c>
      <c r="CG83" s="12">
        <f>CD86</f>
        <v>4</v>
      </c>
      <c r="CH83" s="66">
        <f>CD87</f>
        <v>4</v>
      </c>
    </row>
    <row r="84" spans="1:86" ht="12.75" customHeight="1" x14ac:dyDescent="0.25">
      <c r="A84" s="11" t="s">
        <v>64</v>
      </c>
      <c r="B84" s="12">
        <v>4</v>
      </c>
      <c r="C84" s="12">
        <v>4</v>
      </c>
      <c r="D84" s="12">
        <v>4</v>
      </c>
      <c r="E84" s="12">
        <v>4</v>
      </c>
      <c r="F84" s="12">
        <v>4</v>
      </c>
      <c r="G84" s="12">
        <v>4</v>
      </c>
      <c r="H84" s="71">
        <v>4</v>
      </c>
      <c r="I84" s="71">
        <v>3</v>
      </c>
      <c r="J84" s="12">
        <v>3</v>
      </c>
      <c r="K84" s="12">
        <v>4</v>
      </c>
      <c r="L84" s="12">
        <v>4</v>
      </c>
      <c r="M84" s="12">
        <v>4</v>
      </c>
      <c r="N84" s="12">
        <v>3</v>
      </c>
      <c r="O84" s="12">
        <v>4</v>
      </c>
      <c r="P84" s="12">
        <v>4</v>
      </c>
      <c r="Q84" s="12">
        <v>4</v>
      </c>
      <c r="R84" s="12">
        <v>4</v>
      </c>
      <c r="S84" s="12">
        <v>3</v>
      </c>
      <c r="T84" s="12">
        <v>4</v>
      </c>
      <c r="U84" s="12">
        <v>4</v>
      </c>
      <c r="V84" s="12">
        <v>4</v>
      </c>
      <c r="W84" s="12">
        <v>4</v>
      </c>
      <c r="X84" s="12">
        <v>4</v>
      </c>
      <c r="Y84" s="12">
        <v>4</v>
      </c>
      <c r="Z84" s="12">
        <v>4</v>
      </c>
      <c r="AA84" s="12">
        <v>4</v>
      </c>
      <c r="AB84" s="12">
        <v>4</v>
      </c>
      <c r="AC84" s="12">
        <v>4</v>
      </c>
      <c r="AD84" s="12">
        <v>4</v>
      </c>
      <c r="AE84" s="12">
        <v>4</v>
      </c>
      <c r="AF84" s="12">
        <v>4</v>
      </c>
      <c r="AG84" s="12">
        <v>4</v>
      </c>
      <c r="AH84" s="12">
        <v>4</v>
      </c>
      <c r="AI84" s="12">
        <v>4</v>
      </c>
      <c r="AJ84" s="12">
        <v>4</v>
      </c>
      <c r="AK84" s="12">
        <v>3</v>
      </c>
      <c r="AL84" s="12">
        <v>4</v>
      </c>
      <c r="AM84" s="12">
        <v>4</v>
      </c>
      <c r="AN84" s="12">
        <v>4</v>
      </c>
      <c r="AO84" s="12">
        <v>4</v>
      </c>
      <c r="AP84" s="12">
        <v>3</v>
      </c>
      <c r="AQ84" s="12">
        <v>4</v>
      </c>
      <c r="AR84" s="12">
        <v>4</v>
      </c>
      <c r="AS84" s="12">
        <v>4</v>
      </c>
      <c r="AT84" s="12">
        <v>4</v>
      </c>
      <c r="AU84" s="12">
        <v>3</v>
      </c>
      <c r="AV84" s="12">
        <v>3</v>
      </c>
      <c r="AW84" s="12">
        <v>4</v>
      </c>
      <c r="AX84" s="12">
        <v>3</v>
      </c>
      <c r="AY84" s="12">
        <v>4</v>
      </c>
      <c r="AZ84" s="12">
        <v>4</v>
      </c>
      <c r="BA84" s="12">
        <v>3</v>
      </c>
      <c r="BB84" s="12">
        <v>4</v>
      </c>
      <c r="BC84" s="12">
        <v>4</v>
      </c>
      <c r="BD84" s="12">
        <v>4</v>
      </c>
      <c r="BE84" s="12">
        <v>3</v>
      </c>
      <c r="BF84" s="12">
        <v>4</v>
      </c>
      <c r="BG84" s="12">
        <v>4</v>
      </c>
      <c r="BH84" s="12">
        <v>3</v>
      </c>
      <c r="BI84" s="12">
        <v>3</v>
      </c>
      <c r="BJ84" s="12">
        <v>4</v>
      </c>
      <c r="BK84" s="12">
        <v>4</v>
      </c>
      <c r="BL84" s="12">
        <v>4</v>
      </c>
      <c r="BM84" s="12">
        <v>4</v>
      </c>
      <c r="BN84" s="12">
        <v>4</v>
      </c>
      <c r="BO84" s="12">
        <v>4</v>
      </c>
      <c r="BP84" s="12">
        <v>4</v>
      </c>
      <c r="BQ84" s="12">
        <v>3</v>
      </c>
      <c r="BR84" s="12">
        <v>4</v>
      </c>
      <c r="BS84" s="12">
        <v>4</v>
      </c>
      <c r="BT84" s="12">
        <v>3</v>
      </c>
      <c r="BU84" s="12">
        <v>3</v>
      </c>
      <c r="BV84" s="12">
        <v>4</v>
      </c>
      <c r="BW84" s="12">
        <v>4</v>
      </c>
      <c r="BX84" s="12">
        <v>4</v>
      </c>
      <c r="BY84" s="12">
        <v>3</v>
      </c>
      <c r="BZ84" s="12">
        <v>3</v>
      </c>
      <c r="CA84" s="12">
        <v>2</v>
      </c>
      <c r="CB84" s="12">
        <v>4</v>
      </c>
      <c r="CC84" s="12">
        <v>4</v>
      </c>
      <c r="CD84" s="12">
        <v>4</v>
      </c>
      <c r="CE84" s="12" t="s">
        <v>63</v>
      </c>
      <c r="CF84" s="12">
        <f>CE85</f>
        <v>3</v>
      </c>
      <c r="CG84" s="12">
        <f>CE86</f>
        <v>4</v>
      </c>
      <c r="CH84" s="66">
        <f>CE87</f>
        <v>4</v>
      </c>
    </row>
    <row r="85" spans="1:86" ht="12.75" customHeight="1" x14ac:dyDescent="0.25">
      <c r="A85" s="11" t="s">
        <v>30</v>
      </c>
      <c r="B85" s="12">
        <v>2</v>
      </c>
      <c r="C85" s="12">
        <v>2</v>
      </c>
      <c r="D85" s="12">
        <v>2</v>
      </c>
      <c r="E85" s="12">
        <v>3</v>
      </c>
      <c r="F85" s="12">
        <v>3</v>
      </c>
      <c r="G85" s="12">
        <v>3</v>
      </c>
      <c r="H85" s="71">
        <v>2</v>
      </c>
      <c r="I85" s="71">
        <v>2</v>
      </c>
      <c r="J85" s="12">
        <v>2</v>
      </c>
      <c r="K85" s="12">
        <v>2</v>
      </c>
      <c r="L85" s="12">
        <v>2</v>
      </c>
      <c r="M85" s="12">
        <v>2</v>
      </c>
      <c r="N85" s="12">
        <v>1</v>
      </c>
      <c r="O85" s="12">
        <v>3</v>
      </c>
      <c r="P85" s="12">
        <v>2</v>
      </c>
      <c r="Q85" s="12">
        <v>3</v>
      </c>
      <c r="R85" s="12">
        <v>3</v>
      </c>
      <c r="S85" s="12">
        <v>2</v>
      </c>
      <c r="T85" s="12">
        <v>2</v>
      </c>
      <c r="U85" s="12">
        <v>3</v>
      </c>
      <c r="V85" s="12">
        <v>2</v>
      </c>
      <c r="W85" s="12">
        <v>2</v>
      </c>
      <c r="X85" s="12">
        <v>3</v>
      </c>
      <c r="Y85" s="12">
        <v>2</v>
      </c>
      <c r="Z85" s="12">
        <v>2</v>
      </c>
      <c r="AA85" s="12">
        <v>3</v>
      </c>
      <c r="AB85" s="12">
        <v>2</v>
      </c>
      <c r="AC85" s="12">
        <v>3</v>
      </c>
      <c r="AD85" s="12">
        <v>2</v>
      </c>
      <c r="AE85" s="12">
        <v>2</v>
      </c>
      <c r="AF85" s="12">
        <v>3</v>
      </c>
      <c r="AG85" s="12">
        <v>3</v>
      </c>
      <c r="AH85" s="12">
        <v>3</v>
      </c>
      <c r="AI85" s="12">
        <v>3</v>
      </c>
      <c r="AJ85" s="12">
        <v>3</v>
      </c>
      <c r="AK85" s="12">
        <v>2</v>
      </c>
      <c r="AL85" s="12">
        <v>3</v>
      </c>
      <c r="AM85" s="12">
        <v>2</v>
      </c>
      <c r="AN85" s="12">
        <v>2</v>
      </c>
      <c r="AO85" s="12">
        <v>3</v>
      </c>
      <c r="AP85" s="12">
        <v>2</v>
      </c>
      <c r="AQ85" s="12">
        <v>2</v>
      </c>
      <c r="AR85" s="12">
        <v>2</v>
      </c>
      <c r="AS85" s="12">
        <v>3</v>
      </c>
      <c r="AT85" s="12">
        <v>2</v>
      </c>
      <c r="AU85" s="12">
        <v>2</v>
      </c>
      <c r="AV85" s="12">
        <v>2</v>
      </c>
      <c r="AW85" s="12">
        <v>3</v>
      </c>
      <c r="AX85" s="12">
        <v>2</v>
      </c>
      <c r="AY85" s="12">
        <v>2</v>
      </c>
      <c r="AZ85" s="12">
        <v>3</v>
      </c>
      <c r="BA85" s="12">
        <v>1</v>
      </c>
      <c r="BB85" s="12">
        <v>3</v>
      </c>
      <c r="BC85" s="12">
        <v>3</v>
      </c>
      <c r="BD85" s="12">
        <v>2</v>
      </c>
      <c r="BE85" s="12">
        <v>1</v>
      </c>
      <c r="BF85" s="12">
        <v>2</v>
      </c>
      <c r="BG85" s="12">
        <v>2</v>
      </c>
      <c r="BH85" s="12">
        <v>2</v>
      </c>
      <c r="BI85" s="12">
        <v>2</v>
      </c>
      <c r="BJ85" s="12">
        <v>2</v>
      </c>
      <c r="BK85" s="12">
        <v>2</v>
      </c>
      <c r="BL85" s="12">
        <v>3</v>
      </c>
      <c r="BM85" s="12">
        <v>3</v>
      </c>
      <c r="BN85" s="12">
        <v>2</v>
      </c>
      <c r="BO85" s="12">
        <v>3</v>
      </c>
      <c r="BP85" s="12">
        <v>3</v>
      </c>
      <c r="BQ85" s="12">
        <v>2</v>
      </c>
      <c r="BR85" s="12">
        <v>3</v>
      </c>
      <c r="BS85" s="12">
        <v>2</v>
      </c>
      <c r="BT85" s="12">
        <v>2</v>
      </c>
      <c r="BU85" s="12">
        <v>1</v>
      </c>
      <c r="BV85" s="12">
        <v>3</v>
      </c>
      <c r="BW85" s="12">
        <v>2</v>
      </c>
      <c r="BX85" s="12">
        <v>2</v>
      </c>
      <c r="BY85" s="12">
        <v>1</v>
      </c>
      <c r="BZ85" s="12">
        <v>2</v>
      </c>
      <c r="CA85" s="12">
        <v>2</v>
      </c>
      <c r="CB85" s="12">
        <v>2</v>
      </c>
      <c r="CC85" s="12">
        <v>3</v>
      </c>
      <c r="CD85" s="12">
        <v>3</v>
      </c>
      <c r="CE85" s="12">
        <v>3</v>
      </c>
      <c r="CF85" s="12" t="s">
        <v>63</v>
      </c>
      <c r="CG85" s="12">
        <f>CF86</f>
        <v>3</v>
      </c>
      <c r="CH85" s="66">
        <f>CF87</f>
        <v>3</v>
      </c>
    </row>
    <row r="86" spans="1:86" ht="12.75" customHeight="1" x14ac:dyDescent="0.25">
      <c r="A86" s="11" t="s">
        <v>41</v>
      </c>
      <c r="B86" s="12">
        <v>4</v>
      </c>
      <c r="C86" s="12">
        <v>4</v>
      </c>
      <c r="D86" s="12">
        <v>4</v>
      </c>
      <c r="E86" s="12">
        <v>4</v>
      </c>
      <c r="F86" s="12">
        <v>4</v>
      </c>
      <c r="G86" s="12">
        <v>4</v>
      </c>
      <c r="H86" s="71">
        <v>4</v>
      </c>
      <c r="I86" s="71">
        <v>3</v>
      </c>
      <c r="J86" s="12">
        <v>3</v>
      </c>
      <c r="K86" s="12">
        <v>4</v>
      </c>
      <c r="L86" s="12">
        <v>4</v>
      </c>
      <c r="M86" s="12">
        <v>4</v>
      </c>
      <c r="N86" s="12">
        <v>3</v>
      </c>
      <c r="O86" s="12">
        <v>4</v>
      </c>
      <c r="P86" s="12">
        <v>4</v>
      </c>
      <c r="Q86" s="12">
        <v>4</v>
      </c>
      <c r="R86" s="12">
        <v>4</v>
      </c>
      <c r="S86" s="12">
        <v>3</v>
      </c>
      <c r="T86" s="12">
        <v>4</v>
      </c>
      <c r="U86" s="12">
        <v>4</v>
      </c>
      <c r="V86" s="12">
        <v>4</v>
      </c>
      <c r="W86" s="12">
        <v>4</v>
      </c>
      <c r="X86" s="12">
        <v>4</v>
      </c>
      <c r="Y86" s="12">
        <v>4</v>
      </c>
      <c r="Z86" s="12">
        <v>4</v>
      </c>
      <c r="AA86" s="12">
        <v>4</v>
      </c>
      <c r="AB86" s="12">
        <v>4</v>
      </c>
      <c r="AC86" s="12">
        <v>4</v>
      </c>
      <c r="AD86" s="12">
        <v>4</v>
      </c>
      <c r="AE86" s="12">
        <v>4</v>
      </c>
      <c r="AF86" s="12">
        <v>4</v>
      </c>
      <c r="AG86" s="12">
        <v>4</v>
      </c>
      <c r="AH86" s="12">
        <v>4</v>
      </c>
      <c r="AI86" s="12">
        <v>4</v>
      </c>
      <c r="AJ86" s="12">
        <v>4</v>
      </c>
      <c r="AK86" s="12">
        <v>3</v>
      </c>
      <c r="AL86" s="12">
        <v>4</v>
      </c>
      <c r="AM86" s="12">
        <v>4</v>
      </c>
      <c r="AN86" s="12">
        <v>4</v>
      </c>
      <c r="AO86" s="12">
        <v>4</v>
      </c>
      <c r="AP86" s="12">
        <v>3</v>
      </c>
      <c r="AQ86" s="12">
        <v>4</v>
      </c>
      <c r="AR86" s="12">
        <v>4</v>
      </c>
      <c r="AS86" s="12">
        <v>4</v>
      </c>
      <c r="AT86" s="12">
        <v>4</v>
      </c>
      <c r="AU86" s="12">
        <v>1</v>
      </c>
      <c r="AV86" s="12">
        <v>1</v>
      </c>
      <c r="AW86" s="12">
        <v>4</v>
      </c>
      <c r="AX86" s="12">
        <v>3</v>
      </c>
      <c r="AY86" s="12">
        <v>4</v>
      </c>
      <c r="AZ86" s="12">
        <v>4</v>
      </c>
      <c r="BA86" s="12">
        <v>3</v>
      </c>
      <c r="BB86" s="12">
        <v>4</v>
      </c>
      <c r="BC86" s="12">
        <v>3</v>
      </c>
      <c r="BD86" s="12">
        <v>4</v>
      </c>
      <c r="BE86" s="12">
        <v>3</v>
      </c>
      <c r="BF86" s="12">
        <v>4</v>
      </c>
      <c r="BG86" s="12">
        <v>4</v>
      </c>
      <c r="BH86" s="12">
        <v>3</v>
      </c>
      <c r="BI86" s="12">
        <v>3</v>
      </c>
      <c r="BJ86" s="12">
        <v>4</v>
      </c>
      <c r="BK86" s="12">
        <v>4</v>
      </c>
      <c r="BL86" s="12">
        <v>4</v>
      </c>
      <c r="BM86" s="12">
        <v>4</v>
      </c>
      <c r="BN86" s="12">
        <v>4</v>
      </c>
      <c r="BO86" s="12">
        <v>4</v>
      </c>
      <c r="BP86" s="12">
        <v>4</v>
      </c>
      <c r="BQ86" s="12">
        <v>3</v>
      </c>
      <c r="BR86" s="12">
        <v>4</v>
      </c>
      <c r="BS86" s="12">
        <v>4</v>
      </c>
      <c r="BT86" s="12">
        <v>3</v>
      </c>
      <c r="BU86" s="12">
        <v>3</v>
      </c>
      <c r="BV86" s="12">
        <v>4</v>
      </c>
      <c r="BW86" s="12">
        <v>4</v>
      </c>
      <c r="BX86" s="12">
        <v>4</v>
      </c>
      <c r="BY86" s="12">
        <v>3</v>
      </c>
      <c r="BZ86" s="12">
        <v>3</v>
      </c>
      <c r="CA86" s="12">
        <v>3</v>
      </c>
      <c r="CB86" s="12">
        <v>4</v>
      </c>
      <c r="CC86" s="12">
        <v>4</v>
      </c>
      <c r="CD86" s="12">
        <v>4</v>
      </c>
      <c r="CE86" s="12">
        <v>4</v>
      </c>
      <c r="CF86" s="12">
        <v>3</v>
      </c>
      <c r="CG86" s="12" t="s">
        <v>63</v>
      </c>
      <c r="CH86" s="66">
        <f>CG87</f>
        <v>4</v>
      </c>
    </row>
    <row r="87" spans="1:86" ht="12.75" customHeight="1" thickBot="1" x14ac:dyDescent="0.3">
      <c r="A87" s="65" t="s">
        <v>28</v>
      </c>
      <c r="B87" s="64">
        <v>2</v>
      </c>
      <c r="C87" s="64">
        <v>2</v>
      </c>
      <c r="D87" s="64">
        <v>2</v>
      </c>
      <c r="E87" s="64">
        <v>4</v>
      </c>
      <c r="F87" s="64">
        <v>4</v>
      </c>
      <c r="G87" s="64">
        <v>4</v>
      </c>
      <c r="H87" s="76">
        <v>4</v>
      </c>
      <c r="I87" s="76">
        <v>3</v>
      </c>
      <c r="J87" s="64">
        <v>3</v>
      </c>
      <c r="K87" s="64">
        <v>2</v>
      </c>
      <c r="L87" s="64">
        <v>2</v>
      </c>
      <c r="M87" s="64">
        <v>2</v>
      </c>
      <c r="N87" s="64">
        <v>1</v>
      </c>
      <c r="O87" s="64">
        <v>4</v>
      </c>
      <c r="P87" s="64">
        <v>2</v>
      </c>
      <c r="Q87" s="64">
        <v>4</v>
      </c>
      <c r="R87" s="64">
        <v>4</v>
      </c>
      <c r="S87" s="64">
        <v>3</v>
      </c>
      <c r="T87" s="64">
        <v>2</v>
      </c>
      <c r="U87" s="64">
        <v>4</v>
      </c>
      <c r="V87" s="64">
        <v>2</v>
      </c>
      <c r="W87" s="64">
        <v>2</v>
      </c>
      <c r="X87" s="64">
        <v>4</v>
      </c>
      <c r="Y87" s="64">
        <v>2</v>
      </c>
      <c r="Z87" s="64">
        <v>2</v>
      </c>
      <c r="AA87" s="77">
        <v>4</v>
      </c>
      <c r="AB87" s="64">
        <v>2</v>
      </c>
      <c r="AC87" s="64">
        <v>4</v>
      </c>
      <c r="AD87" s="64">
        <v>2</v>
      </c>
      <c r="AE87" s="64">
        <v>2</v>
      </c>
      <c r="AF87" s="77">
        <v>4</v>
      </c>
      <c r="AG87" s="64">
        <v>4</v>
      </c>
      <c r="AH87" s="77">
        <v>4</v>
      </c>
      <c r="AI87" s="64">
        <v>4</v>
      </c>
      <c r="AJ87" s="77">
        <v>4</v>
      </c>
      <c r="AK87" s="64">
        <v>3</v>
      </c>
      <c r="AL87" s="77">
        <v>4</v>
      </c>
      <c r="AM87" s="64">
        <v>2</v>
      </c>
      <c r="AN87" s="64">
        <v>2</v>
      </c>
      <c r="AO87" s="64">
        <v>4</v>
      </c>
      <c r="AP87" s="64">
        <v>2</v>
      </c>
      <c r="AQ87" s="64">
        <v>2</v>
      </c>
      <c r="AR87" s="64">
        <v>2</v>
      </c>
      <c r="AS87" s="77">
        <v>4</v>
      </c>
      <c r="AT87" s="64">
        <v>2</v>
      </c>
      <c r="AU87" s="64">
        <v>3</v>
      </c>
      <c r="AV87" s="64">
        <v>3</v>
      </c>
      <c r="AW87" s="64">
        <v>4</v>
      </c>
      <c r="AX87" s="77">
        <v>3</v>
      </c>
      <c r="AY87" s="64">
        <v>4</v>
      </c>
      <c r="AZ87" s="77">
        <v>4</v>
      </c>
      <c r="BA87" s="64">
        <v>3</v>
      </c>
      <c r="BB87" s="77">
        <v>4</v>
      </c>
      <c r="BC87" s="64">
        <v>4</v>
      </c>
      <c r="BD87" s="64">
        <v>4</v>
      </c>
      <c r="BE87" s="64">
        <v>1</v>
      </c>
      <c r="BF87" s="64">
        <v>2</v>
      </c>
      <c r="BG87" s="64">
        <v>2</v>
      </c>
      <c r="BH87" s="76">
        <v>1</v>
      </c>
      <c r="BI87" s="64">
        <v>3</v>
      </c>
      <c r="BJ87" s="64">
        <v>2</v>
      </c>
      <c r="BK87" s="64">
        <v>2</v>
      </c>
      <c r="BL87" s="77">
        <v>4</v>
      </c>
      <c r="BM87" s="64">
        <v>4</v>
      </c>
      <c r="BN87" s="77">
        <v>4</v>
      </c>
      <c r="BO87" s="64">
        <v>4</v>
      </c>
      <c r="BP87" s="77">
        <v>4</v>
      </c>
      <c r="BQ87" s="64">
        <v>3</v>
      </c>
      <c r="BR87" s="77">
        <v>4</v>
      </c>
      <c r="BS87" s="64">
        <v>4</v>
      </c>
      <c r="BT87" s="77">
        <v>3</v>
      </c>
      <c r="BU87" s="64">
        <v>3</v>
      </c>
      <c r="BV87" s="77">
        <v>4</v>
      </c>
      <c r="BW87" s="64">
        <v>2</v>
      </c>
      <c r="BX87" s="64">
        <v>2</v>
      </c>
      <c r="BY87" s="64">
        <v>3</v>
      </c>
      <c r="BZ87" s="77">
        <v>3</v>
      </c>
      <c r="CA87" s="64">
        <v>3</v>
      </c>
      <c r="CB87" s="64">
        <v>2</v>
      </c>
      <c r="CC87" s="64">
        <v>3</v>
      </c>
      <c r="CD87" s="77">
        <v>4</v>
      </c>
      <c r="CE87" s="64">
        <v>4</v>
      </c>
      <c r="CF87" s="77">
        <v>3</v>
      </c>
      <c r="CG87" s="64">
        <v>4</v>
      </c>
      <c r="CH87" s="78" t="s">
        <v>63</v>
      </c>
    </row>
    <row r="88" spans="1:86" ht="12.75" customHeight="1" x14ac:dyDescent="0.25"/>
    <row r="89" spans="1:86" ht="12.75" customHeight="1" x14ac:dyDescent="0.25"/>
    <row r="90" spans="1:86" ht="12.75" customHeight="1" x14ac:dyDescent="0.25"/>
    <row r="91" spans="1:86" ht="12.75" customHeight="1" x14ac:dyDescent="0.25"/>
    <row r="92" spans="1:86" ht="12.75" customHeight="1" x14ac:dyDescent="0.25"/>
    <row r="93" spans="1:86" ht="12.75" customHeight="1" x14ac:dyDescent="0.25"/>
    <row r="94" spans="1:86" ht="12.75" customHeight="1" x14ac:dyDescent="0.25"/>
    <row r="95" spans="1:86" ht="12.75" customHeight="1" x14ac:dyDescent="0.25"/>
    <row r="96" spans="1:8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</sheetData>
  <mergeCells count="1">
    <mergeCell ref="A1:CH1"/>
  </mergeCells>
  <printOptions horizontalCentered="1" verticalCentered="1"/>
  <pageMargins left="0.19685039370078741" right="0.19685039370078741" top="0.19685039370078741" bottom="0.19685039370078741" header="0" footer="0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0"/>
  <sheetViews>
    <sheetView zoomScale="130" zoomScaleNormal="130" zoomScaleSheetLayoutView="100" workbookViewId="0">
      <selection sqref="A1:E1"/>
    </sheetView>
  </sheetViews>
  <sheetFormatPr defaultRowHeight="13.2" x14ac:dyDescent="0.25"/>
  <cols>
    <col min="1" max="1" width="25.6640625" customWidth="1"/>
    <col min="2" max="5" width="16.6640625" customWidth="1"/>
  </cols>
  <sheetData>
    <row r="1" spans="1:8" ht="24.9" customHeight="1" x14ac:dyDescent="0.25">
      <c r="A1" s="174" t="s">
        <v>241</v>
      </c>
      <c r="B1" s="174"/>
      <c r="C1" s="174"/>
      <c r="D1" s="174"/>
      <c r="E1" s="174"/>
    </row>
    <row r="2" spans="1:8" x14ac:dyDescent="0.25">
      <c r="A2" s="1"/>
      <c r="B2" s="1"/>
      <c r="C2" s="1"/>
      <c r="D2" s="1"/>
      <c r="E2" s="1"/>
    </row>
    <row r="3" spans="1:8" ht="12.75" customHeight="1" thickBot="1" x14ac:dyDescent="0.3">
      <c r="A3" s="173" t="s">
        <v>242</v>
      </c>
      <c r="B3" s="173"/>
      <c r="C3" s="173"/>
      <c r="D3" s="173"/>
      <c r="E3" s="173"/>
    </row>
    <row r="4" spans="1:8" x14ac:dyDescent="0.25">
      <c r="A4" s="196" t="s">
        <v>126</v>
      </c>
      <c r="B4" s="198" t="s">
        <v>31</v>
      </c>
      <c r="C4" s="198"/>
      <c r="D4" s="198"/>
      <c r="E4" s="199"/>
    </row>
    <row r="5" spans="1:8" ht="13.8" thickBot="1" x14ac:dyDescent="0.3">
      <c r="A5" s="197"/>
      <c r="B5" s="34" t="s">
        <v>130</v>
      </c>
      <c r="C5" s="34" t="s">
        <v>70</v>
      </c>
      <c r="D5" s="34" t="s">
        <v>71</v>
      </c>
      <c r="E5" s="37" t="s">
        <v>72</v>
      </c>
    </row>
    <row r="6" spans="1:8" ht="12.75" customHeight="1" x14ac:dyDescent="0.25">
      <c r="A6" s="32" t="s">
        <v>239</v>
      </c>
      <c r="B6" s="46">
        <v>5000</v>
      </c>
      <c r="C6" s="46">
        <v>6000</v>
      </c>
      <c r="D6" s="46">
        <v>8000</v>
      </c>
      <c r="E6" s="35">
        <v>19000</v>
      </c>
    </row>
    <row r="7" spans="1:8" x14ac:dyDescent="0.25">
      <c r="A7" s="40" t="s">
        <v>238</v>
      </c>
      <c r="B7" s="40">
        <v>300</v>
      </c>
      <c r="C7" s="40">
        <v>380</v>
      </c>
      <c r="D7" s="40">
        <v>650</v>
      </c>
      <c r="E7" s="38">
        <v>1300</v>
      </c>
    </row>
    <row r="8" spans="1:8" x14ac:dyDescent="0.25">
      <c r="A8" s="36" t="s">
        <v>240</v>
      </c>
      <c r="B8" s="207" t="s">
        <v>170</v>
      </c>
      <c r="C8" s="207"/>
      <c r="D8" s="39" t="s">
        <v>132</v>
      </c>
      <c r="E8" s="33" t="s">
        <v>133</v>
      </c>
    </row>
    <row r="9" spans="1:8" x14ac:dyDescent="0.25">
      <c r="A9" s="1"/>
      <c r="B9" s="1"/>
      <c r="C9" s="1"/>
      <c r="D9" s="1"/>
      <c r="E9" s="1"/>
    </row>
    <row r="10" spans="1:8" ht="12.75" customHeight="1" thickBot="1" x14ac:dyDescent="0.3">
      <c r="A10" s="173" t="s">
        <v>243</v>
      </c>
      <c r="B10" s="173"/>
      <c r="C10" s="173"/>
      <c r="D10" s="173"/>
      <c r="E10" s="173"/>
      <c r="H10" s="41"/>
    </row>
    <row r="11" spans="1:8" x14ac:dyDescent="0.25">
      <c r="A11" s="196" t="s">
        <v>126</v>
      </c>
      <c r="B11" s="198" t="s">
        <v>31</v>
      </c>
      <c r="C11" s="198"/>
      <c r="D11" s="198"/>
      <c r="E11" s="199"/>
    </row>
    <row r="12" spans="1:8" ht="13.8" thickBot="1" x14ac:dyDescent="0.3">
      <c r="A12" s="197"/>
      <c r="B12" s="34" t="s">
        <v>130</v>
      </c>
      <c r="C12" s="34" t="s">
        <v>70</v>
      </c>
      <c r="D12" s="200" t="s">
        <v>71</v>
      </c>
      <c r="E12" s="202"/>
    </row>
    <row r="13" spans="1:8" ht="12.75" customHeight="1" x14ac:dyDescent="0.25">
      <c r="A13" s="32" t="s">
        <v>239</v>
      </c>
      <c r="B13" s="46">
        <v>4000</v>
      </c>
      <c r="C13" s="46">
        <v>5000</v>
      </c>
      <c r="D13" s="203">
        <v>6500</v>
      </c>
      <c r="E13" s="204"/>
    </row>
    <row r="14" spans="1:8" x14ac:dyDescent="0.25">
      <c r="A14" s="40" t="s">
        <v>238</v>
      </c>
      <c r="B14" s="40">
        <v>280</v>
      </c>
      <c r="C14" s="40">
        <v>365</v>
      </c>
      <c r="D14" s="205">
        <v>550</v>
      </c>
      <c r="E14" s="206"/>
    </row>
    <row r="15" spans="1:8" x14ac:dyDescent="0.25">
      <c r="A15" s="36" t="s">
        <v>240</v>
      </c>
      <c r="B15" s="207" t="s">
        <v>170</v>
      </c>
      <c r="C15" s="207"/>
      <c r="D15" s="207" t="s">
        <v>132</v>
      </c>
      <c r="E15" s="208"/>
    </row>
    <row r="16" spans="1:8" ht="24.9" customHeight="1" x14ac:dyDescent="0.25">
      <c r="A16" s="173" t="s">
        <v>199</v>
      </c>
      <c r="B16" s="173"/>
      <c r="C16" s="173"/>
      <c r="D16" s="173"/>
      <c r="E16" s="173"/>
    </row>
    <row r="17" spans="1:10" x14ac:dyDescent="0.25">
      <c r="A17" s="1"/>
      <c r="B17" s="1"/>
      <c r="C17" s="1"/>
      <c r="D17" s="1"/>
      <c r="E17" s="1"/>
    </row>
    <row r="18" spans="1:10" ht="12.75" customHeight="1" thickBot="1" x14ac:dyDescent="0.3">
      <c r="A18" s="173" t="s">
        <v>244</v>
      </c>
      <c r="B18" s="173"/>
      <c r="C18" s="173"/>
      <c r="D18" s="173"/>
      <c r="E18" s="173"/>
    </row>
    <row r="19" spans="1:10" x14ac:dyDescent="0.25">
      <c r="A19" s="196" t="s">
        <v>126</v>
      </c>
      <c r="B19" s="198" t="s">
        <v>31</v>
      </c>
      <c r="C19" s="198"/>
      <c r="D19" s="198"/>
      <c r="E19" s="199"/>
    </row>
    <row r="20" spans="1:10" ht="13.8" thickBot="1" x14ac:dyDescent="0.3">
      <c r="A20" s="197"/>
      <c r="B20" s="200" t="s">
        <v>130</v>
      </c>
      <c r="C20" s="201"/>
      <c r="D20" s="200" t="s">
        <v>70</v>
      </c>
      <c r="E20" s="202"/>
    </row>
    <row r="21" spans="1:10" ht="12.75" customHeight="1" x14ac:dyDescent="0.25">
      <c r="A21" s="32" t="s">
        <v>239</v>
      </c>
      <c r="B21" s="203">
        <v>3000</v>
      </c>
      <c r="C21" s="203"/>
      <c r="D21" s="203">
        <v>4000</v>
      </c>
      <c r="E21" s="204"/>
    </row>
    <row r="22" spans="1:10" x14ac:dyDescent="0.25">
      <c r="A22" s="40" t="s">
        <v>238</v>
      </c>
      <c r="B22" s="205">
        <v>260</v>
      </c>
      <c r="C22" s="205"/>
      <c r="D22" s="205">
        <v>350</v>
      </c>
      <c r="E22" s="206"/>
    </row>
    <row r="23" spans="1:10" x14ac:dyDescent="0.25">
      <c r="A23" s="36" t="s">
        <v>240</v>
      </c>
      <c r="B23" s="207" t="s">
        <v>170</v>
      </c>
      <c r="C23" s="207"/>
      <c r="D23" s="207"/>
      <c r="E23" s="208"/>
    </row>
    <row r="24" spans="1:10" ht="50.1" customHeight="1" x14ac:dyDescent="0.25">
      <c r="A24" s="173" t="s">
        <v>258</v>
      </c>
      <c r="B24" s="173"/>
      <c r="C24" s="173"/>
      <c r="D24" s="173"/>
      <c r="E24" s="173"/>
      <c r="H24" s="2"/>
    </row>
    <row r="25" spans="1:10" x14ac:dyDescent="0.25">
      <c r="A25" s="2"/>
      <c r="B25" s="2"/>
      <c r="C25" s="18"/>
      <c r="D25" s="18"/>
      <c r="E25" s="18"/>
      <c r="F25" s="17"/>
      <c r="H25" s="2"/>
    </row>
    <row r="26" spans="1:10" s="1" customFormat="1" ht="12.75" customHeight="1" x14ac:dyDescent="0.25">
      <c r="A26" s="173" t="s">
        <v>259</v>
      </c>
      <c r="B26" s="173"/>
      <c r="C26" s="173"/>
      <c r="D26" s="173"/>
      <c r="E26" s="173"/>
      <c r="F26" s="2"/>
      <c r="G26" s="2"/>
      <c r="H26" s="2"/>
      <c r="I26" s="2"/>
      <c r="J26" s="2"/>
    </row>
    <row r="27" spans="1:10" s="1" customFormat="1" ht="24.9" customHeight="1" x14ac:dyDescent="0.25">
      <c r="A27" s="173" t="s">
        <v>224</v>
      </c>
      <c r="B27" s="173"/>
      <c r="C27" s="173"/>
      <c r="D27" s="173"/>
      <c r="E27" s="173"/>
      <c r="F27" s="2"/>
      <c r="G27" s="2"/>
      <c r="H27"/>
      <c r="I27" s="2"/>
      <c r="J27" s="2"/>
    </row>
    <row r="28" spans="1:10" s="1" customFormat="1" ht="24.9" customHeight="1" x14ac:dyDescent="0.25">
      <c r="A28" s="173" t="s">
        <v>246</v>
      </c>
      <c r="B28" s="173"/>
      <c r="C28" s="173"/>
      <c r="D28" s="173"/>
      <c r="E28" s="173"/>
      <c r="F28" s="2"/>
      <c r="G28" s="2"/>
      <c r="H28"/>
      <c r="I28" s="2"/>
      <c r="J28" s="2"/>
    </row>
    <row r="29" spans="1:10" ht="12.75" customHeight="1" x14ac:dyDescent="0.25"/>
    <row r="30" spans="1:10" ht="12.75" customHeight="1" x14ac:dyDescent="0.25">
      <c r="A30" s="173" t="s">
        <v>237</v>
      </c>
      <c r="B30" s="173"/>
      <c r="C30" s="173"/>
      <c r="D30" s="173"/>
      <c r="E30" s="173"/>
    </row>
  </sheetData>
  <mergeCells count="29">
    <mergeCell ref="B23:E23"/>
    <mergeCell ref="B8:C8"/>
    <mergeCell ref="B15:C15"/>
    <mergeCell ref="B21:C21"/>
    <mergeCell ref="D21:E21"/>
    <mergeCell ref="B22:C22"/>
    <mergeCell ref="D22:E22"/>
    <mergeCell ref="B11:E11"/>
    <mergeCell ref="A1:E1"/>
    <mergeCell ref="A4:A5"/>
    <mergeCell ref="B4:E4"/>
    <mergeCell ref="A18:E18"/>
    <mergeCell ref="B20:C20"/>
    <mergeCell ref="D20:E20"/>
    <mergeCell ref="A19:A20"/>
    <mergeCell ref="B19:E19"/>
    <mergeCell ref="A16:E16"/>
    <mergeCell ref="A10:E10"/>
    <mergeCell ref="A11:A12"/>
    <mergeCell ref="A3:E3"/>
    <mergeCell ref="D12:E12"/>
    <mergeCell ref="D13:E13"/>
    <mergeCell ref="D14:E14"/>
    <mergeCell ref="D15:E15"/>
    <mergeCell ref="A30:E30"/>
    <mergeCell ref="A28:E28"/>
    <mergeCell ref="A27:E27"/>
    <mergeCell ref="A26:E26"/>
    <mergeCell ref="A24:E24"/>
  </mergeCells>
  <phoneticPr fontId="2" type="noConversion"/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1"/>
  <sheetViews>
    <sheetView zoomScale="110" zoomScaleNormal="110" workbookViewId="0">
      <selection sqref="A1:D1"/>
    </sheetView>
  </sheetViews>
  <sheetFormatPr defaultRowHeight="13.2" x14ac:dyDescent="0.25"/>
  <cols>
    <col min="1" max="1" width="25.6640625" customWidth="1"/>
    <col min="2" max="2" width="20.6640625" customWidth="1"/>
    <col min="3" max="3" width="35.6640625" customWidth="1"/>
    <col min="4" max="4" width="20.6640625" customWidth="1"/>
  </cols>
  <sheetData>
    <row r="1" spans="1:4" ht="24.9" customHeight="1" x14ac:dyDescent="0.25">
      <c r="A1" s="174" t="s">
        <v>255</v>
      </c>
      <c r="B1" s="174"/>
      <c r="C1" s="174"/>
      <c r="D1" s="174"/>
    </row>
    <row r="2" spans="1:4" ht="12.75" customHeight="1" thickBot="1" x14ac:dyDescent="0.3">
      <c r="A2" s="54"/>
      <c r="B2" s="54"/>
      <c r="C2" s="54"/>
      <c r="D2" s="54"/>
    </row>
    <row r="3" spans="1:4" x14ac:dyDescent="0.25">
      <c r="A3" s="209" t="s">
        <v>126</v>
      </c>
      <c r="B3" s="198" t="s">
        <v>31</v>
      </c>
      <c r="C3" s="198"/>
      <c r="D3" s="199"/>
    </row>
    <row r="4" spans="1:4" x14ac:dyDescent="0.25">
      <c r="A4" s="210"/>
      <c r="B4" s="55" t="s">
        <v>130</v>
      </c>
      <c r="C4" s="55" t="s">
        <v>70</v>
      </c>
      <c r="D4" s="56" t="s">
        <v>71</v>
      </c>
    </row>
    <row r="5" spans="1:4" ht="80.099999999999994" customHeight="1" thickBot="1" x14ac:dyDescent="0.3">
      <c r="A5" s="211"/>
      <c r="B5" s="57" t="s">
        <v>249</v>
      </c>
      <c r="C5" s="57" t="s">
        <v>279</v>
      </c>
      <c r="D5" s="58" t="s">
        <v>220</v>
      </c>
    </row>
    <row r="6" spans="1:4" x14ac:dyDescent="0.25">
      <c r="A6" s="212" t="s">
        <v>221</v>
      </c>
      <c r="B6" s="212"/>
      <c r="C6" s="212"/>
      <c r="D6" s="212"/>
    </row>
    <row r="7" spans="1:4" ht="12.75" customHeight="1" x14ac:dyDescent="0.25">
      <c r="A7" s="2" t="s">
        <v>247</v>
      </c>
      <c r="B7" s="73">
        <v>16000</v>
      </c>
      <c r="C7" s="73">
        <v>21500</v>
      </c>
      <c r="D7" s="73">
        <v>25100</v>
      </c>
    </row>
    <row r="8" spans="1:4" ht="12.75" customHeight="1" x14ac:dyDescent="0.25">
      <c r="A8" s="47" t="s">
        <v>168</v>
      </c>
      <c r="B8" s="74">
        <v>34850</v>
      </c>
      <c r="C8" s="74">
        <v>34850</v>
      </c>
      <c r="D8" s="74">
        <v>35300</v>
      </c>
    </row>
    <row r="9" spans="1:4" x14ac:dyDescent="0.25">
      <c r="A9" s="46" t="s">
        <v>238</v>
      </c>
      <c r="B9" s="73">
        <v>650</v>
      </c>
      <c r="C9" s="73">
        <v>650</v>
      </c>
      <c r="D9" s="73">
        <v>700</v>
      </c>
    </row>
    <row r="10" spans="1:4" ht="12.75" customHeight="1" x14ac:dyDescent="0.25">
      <c r="A10" s="47" t="s">
        <v>131</v>
      </c>
      <c r="B10" s="59" t="s">
        <v>222</v>
      </c>
      <c r="C10" s="59" t="s">
        <v>132</v>
      </c>
      <c r="D10" s="59" t="s">
        <v>223</v>
      </c>
    </row>
    <row r="11" spans="1:4" x14ac:dyDescent="0.25">
      <c r="A11" s="213" t="s">
        <v>252</v>
      </c>
      <c r="B11" s="213"/>
      <c r="C11" s="213"/>
      <c r="D11" s="213"/>
    </row>
    <row r="12" spans="1:4" ht="12.75" customHeight="1" x14ac:dyDescent="0.25">
      <c r="A12" s="2" t="s">
        <v>247</v>
      </c>
      <c r="B12" s="73">
        <v>46500</v>
      </c>
      <c r="C12" s="73">
        <v>55620</v>
      </c>
      <c r="D12" s="73">
        <v>60000</v>
      </c>
    </row>
    <row r="13" spans="1:4" ht="12.75" customHeight="1" x14ac:dyDescent="0.25">
      <c r="A13" s="47" t="s">
        <v>168</v>
      </c>
      <c r="B13" s="74">
        <v>54600</v>
      </c>
      <c r="C13" s="74">
        <v>65280</v>
      </c>
      <c r="D13" s="74">
        <v>70320</v>
      </c>
    </row>
    <row r="14" spans="1:4" ht="12.75" customHeight="1" x14ac:dyDescent="0.25">
      <c r="A14" s="46" t="s">
        <v>238</v>
      </c>
      <c r="B14" s="73">
        <v>700</v>
      </c>
      <c r="C14" s="73">
        <v>700</v>
      </c>
      <c r="D14" s="73">
        <v>750</v>
      </c>
    </row>
    <row r="15" spans="1:4" ht="12.75" customHeight="1" x14ac:dyDescent="0.25">
      <c r="A15" s="60" t="s">
        <v>131</v>
      </c>
      <c r="B15" s="61" t="s">
        <v>227</v>
      </c>
      <c r="C15" s="61" t="s">
        <v>228</v>
      </c>
      <c r="D15" s="61" t="s">
        <v>229</v>
      </c>
    </row>
    <row r="16" spans="1:4" x14ac:dyDescent="0.25">
      <c r="A16" s="1"/>
      <c r="B16" s="1"/>
      <c r="C16" s="1"/>
      <c r="D16" s="1"/>
    </row>
    <row r="17" spans="1:4" ht="24.9" customHeight="1" x14ac:dyDescent="0.25">
      <c r="A17" s="173" t="s">
        <v>224</v>
      </c>
      <c r="B17" s="173"/>
      <c r="C17" s="173"/>
      <c r="D17" s="173"/>
    </row>
    <row r="18" spans="1:4" ht="24.9" customHeight="1" x14ac:dyDescent="0.25">
      <c r="A18" s="173" t="s">
        <v>225</v>
      </c>
      <c r="B18" s="173"/>
      <c r="C18" s="173"/>
      <c r="D18" s="173"/>
    </row>
    <row r="19" spans="1:4" ht="39.9" customHeight="1" x14ac:dyDescent="0.25">
      <c r="A19" s="173" t="s">
        <v>226</v>
      </c>
      <c r="B19" s="173"/>
      <c r="C19" s="173"/>
      <c r="D19" s="173"/>
    </row>
    <row r="21" spans="1:4" ht="12.75" customHeight="1" x14ac:dyDescent="0.25">
      <c r="A21" s="173" t="s">
        <v>257</v>
      </c>
      <c r="B21" s="173"/>
      <c r="C21" s="173"/>
      <c r="D21" s="173"/>
    </row>
  </sheetData>
  <mergeCells count="9">
    <mergeCell ref="A21:D21"/>
    <mergeCell ref="A19:D19"/>
    <mergeCell ref="A1:D1"/>
    <mergeCell ref="A3:A5"/>
    <mergeCell ref="B3:D3"/>
    <mergeCell ref="A6:D6"/>
    <mergeCell ref="A11:D11"/>
    <mergeCell ref="A17:D17"/>
    <mergeCell ref="A18:D18"/>
  </mergeCells>
  <printOptions horizontalCentered="1" verticalCentered="1"/>
  <pageMargins left="0.19685039370078741" right="0.19685039370078741" top="1.5748031496062993" bottom="0.19685039370078741" header="0" footer="0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91"/>
  <sheetViews>
    <sheetView zoomScale="130" zoomScaleNormal="130" zoomScaleSheetLayoutView="100" workbookViewId="0">
      <selection sqref="A1:H1"/>
    </sheetView>
  </sheetViews>
  <sheetFormatPr defaultColWidth="9.109375" defaultRowHeight="13.2" x14ac:dyDescent="0.25"/>
  <cols>
    <col min="1" max="1" width="20.6640625" style="1" customWidth="1"/>
    <col min="2" max="2" width="2.6640625" style="1" customWidth="1"/>
    <col min="3" max="3" width="20.6640625" style="1" customWidth="1"/>
    <col min="4" max="4" width="2.6640625" style="1" customWidth="1"/>
    <col min="5" max="5" width="20.6640625" style="1" customWidth="1"/>
    <col min="6" max="6" width="2.6640625" style="1" customWidth="1"/>
    <col min="7" max="7" width="20.6640625" style="1" customWidth="1"/>
    <col min="8" max="8" width="2.6640625" style="1" customWidth="1"/>
    <col min="9" max="16384" width="9.109375" style="1"/>
  </cols>
  <sheetData>
    <row r="1" spans="1:12" s="80" customFormat="1" ht="25.5" customHeight="1" x14ac:dyDescent="0.25">
      <c r="A1" s="188" t="s">
        <v>515</v>
      </c>
      <c r="B1" s="188"/>
      <c r="C1" s="188"/>
      <c r="D1" s="188"/>
      <c r="E1" s="188"/>
      <c r="F1" s="188"/>
      <c r="G1" s="188"/>
      <c r="H1" s="188"/>
    </row>
    <row r="2" spans="1:12" ht="43.5" customHeight="1" x14ac:dyDescent="0.25">
      <c r="A2" s="81" t="s">
        <v>516</v>
      </c>
      <c r="B2" s="82" t="s">
        <v>302</v>
      </c>
      <c r="C2" s="81" t="s">
        <v>516</v>
      </c>
      <c r="D2" s="82" t="s">
        <v>302</v>
      </c>
      <c r="E2" s="81" t="s">
        <v>516</v>
      </c>
      <c r="F2" s="82" t="s">
        <v>302</v>
      </c>
      <c r="G2" s="81" t="s">
        <v>516</v>
      </c>
      <c r="H2" s="82" t="s">
        <v>302</v>
      </c>
      <c r="I2" s="80"/>
      <c r="J2" s="80"/>
      <c r="K2" s="80"/>
      <c r="L2" s="80"/>
    </row>
    <row r="3" spans="1:12" ht="12.75" customHeight="1" x14ac:dyDescent="0.25">
      <c r="A3" s="215" t="s">
        <v>517</v>
      </c>
      <c r="B3" s="215"/>
      <c r="C3" s="91" t="s">
        <v>518</v>
      </c>
      <c r="D3" s="84">
        <v>4</v>
      </c>
      <c r="E3" s="83" t="s">
        <v>519</v>
      </c>
      <c r="F3" s="84">
        <v>4</v>
      </c>
      <c r="G3" s="83" t="s">
        <v>520</v>
      </c>
      <c r="H3" s="84">
        <v>4</v>
      </c>
    </row>
    <row r="4" spans="1:12" ht="12.75" customHeight="1" x14ac:dyDescent="0.25">
      <c r="A4" s="83" t="s">
        <v>521</v>
      </c>
      <c r="B4" s="84">
        <v>4</v>
      </c>
      <c r="C4" s="83" t="s">
        <v>522</v>
      </c>
      <c r="D4" s="84">
        <v>4</v>
      </c>
      <c r="E4" s="83" t="s">
        <v>523</v>
      </c>
      <c r="F4" s="84">
        <v>6</v>
      </c>
      <c r="G4" s="83" t="s">
        <v>524</v>
      </c>
      <c r="H4" s="84">
        <v>4</v>
      </c>
    </row>
    <row r="5" spans="1:12" ht="12.75" customHeight="1" x14ac:dyDescent="0.25">
      <c r="A5" s="83" t="s">
        <v>525</v>
      </c>
      <c r="B5" s="84">
        <v>4</v>
      </c>
      <c r="C5" s="83" t="s">
        <v>526</v>
      </c>
      <c r="D5" s="84">
        <v>2</v>
      </c>
      <c r="E5" s="83" t="s">
        <v>527</v>
      </c>
      <c r="F5" s="84">
        <v>4</v>
      </c>
      <c r="G5" s="83" t="s">
        <v>528</v>
      </c>
      <c r="H5" s="84">
        <v>3</v>
      </c>
    </row>
    <row r="6" spans="1:12" ht="12.75" customHeight="1" x14ac:dyDescent="0.25">
      <c r="A6" s="83" t="s">
        <v>529</v>
      </c>
      <c r="B6" s="84">
        <v>4</v>
      </c>
      <c r="C6" s="83" t="s">
        <v>530</v>
      </c>
      <c r="D6" s="84">
        <v>3</v>
      </c>
      <c r="E6" s="83" t="s">
        <v>531</v>
      </c>
      <c r="F6" s="84">
        <v>3</v>
      </c>
      <c r="G6" s="83" t="s">
        <v>532</v>
      </c>
      <c r="H6" s="84">
        <v>3</v>
      </c>
    </row>
    <row r="7" spans="1:12" ht="12.75" customHeight="1" x14ac:dyDescent="0.25">
      <c r="A7" s="83" t="s">
        <v>533</v>
      </c>
      <c r="B7" s="84">
        <v>4</v>
      </c>
      <c r="C7" s="83" t="s">
        <v>534</v>
      </c>
      <c r="D7" s="84">
        <v>3</v>
      </c>
      <c r="E7" s="83" t="s">
        <v>535</v>
      </c>
      <c r="F7" s="84">
        <v>4</v>
      </c>
      <c r="G7" s="83" t="s">
        <v>536</v>
      </c>
      <c r="H7" s="84">
        <v>4</v>
      </c>
    </row>
    <row r="8" spans="1:12" ht="12.75" customHeight="1" x14ac:dyDescent="0.25">
      <c r="A8" s="83" t="s">
        <v>537</v>
      </c>
      <c r="B8" s="84">
        <v>3</v>
      </c>
      <c r="C8" s="83" t="s">
        <v>538</v>
      </c>
      <c r="D8" s="84">
        <v>3</v>
      </c>
      <c r="E8" s="83" t="s">
        <v>539</v>
      </c>
      <c r="F8" s="84">
        <v>3</v>
      </c>
      <c r="G8" s="83" t="s">
        <v>540</v>
      </c>
      <c r="H8" s="84">
        <v>3</v>
      </c>
    </row>
    <row r="9" spans="1:12" ht="12.75" customHeight="1" x14ac:dyDescent="0.25">
      <c r="A9" s="83" t="s">
        <v>541</v>
      </c>
      <c r="B9" s="84">
        <v>4</v>
      </c>
      <c r="C9" s="83" t="s">
        <v>542</v>
      </c>
      <c r="D9" s="84">
        <v>4</v>
      </c>
      <c r="E9" s="83" t="s">
        <v>543</v>
      </c>
      <c r="F9" s="84">
        <v>3</v>
      </c>
      <c r="G9" s="83" t="s">
        <v>544</v>
      </c>
      <c r="H9" s="84">
        <v>4</v>
      </c>
    </row>
    <row r="10" spans="1:12" ht="12.75" customHeight="1" x14ac:dyDescent="0.25">
      <c r="A10" s="215" t="s">
        <v>545</v>
      </c>
      <c r="B10" s="215"/>
      <c r="C10" s="83" t="s">
        <v>546</v>
      </c>
      <c r="D10" s="84">
        <v>3</v>
      </c>
      <c r="E10" s="83" t="s">
        <v>547</v>
      </c>
      <c r="F10" s="84">
        <v>4</v>
      </c>
      <c r="G10" s="83" t="s">
        <v>548</v>
      </c>
      <c r="H10" s="84">
        <v>3</v>
      </c>
    </row>
    <row r="11" spans="1:12" ht="12.75" customHeight="1" x14ac:dyDescent="0.25">
      <c r="A11" s="83" t="s">
        <v>549</v>
      </c>
      <c r="B11" s="84">
        <v>3</v>
      </c>
      <c r="C11" s="83" t="s">
        <v>550</v>
      </c>
      <c r="D11" s="84">
        <v>5</v>
      </c>
      <c r="E11" s="83" t="s">
        <v>551</v>
      </c>
      <c r="F11" s="84">
        <v>2</v>
      </c>
      <c r="G11" s="83" t="s">
        <v>552</v>
      </c>
      <c r="H11" s="84">
        <v>3</v>
      </c>
    </row>
    <row r="12" spans="1:12" ht="12.75" customHeight="1" x14ac:dyDescent="0.25">
      <c r="A12" s="83" t="s">
        <v>553</v>
      </c>
      <c r="B12" s="84">
        <v>3</v>
      </c>
      <c r="C12" s="83" t="s">
        <v>554</v>
      </c>
      <c r="D12" s="84">
        <v>3</v>
      </c>
      <c r="E12" s="83" t="s">
        <v>555</v>
      </c>
      <c r="F12" s="84">
        <v>4</v>
      </c>
      <c r="G12" s="83" t="s">
        <v>556</v>
      </c>
      <c r="H12" s="84">
        <v>4</v>
      </c>
    </row>
    <row r="13" spans="1:12" ht="12.75" customHeight="1" x14ac:dyDescent="0.25">
      <c r="A13" s="83" t="s">
        <v>557</v>
      </c>
      <c r="B13" s="84">
        <v>1</v>
      </c>
      <c r="C13" s="83" t="s">
        <v>558</v>
      </c>
      <c r="D13" s="84">
        <v>3</v>
      </c>
      <c r="E13" s="83" t="s">
        <v>559</v>
      </c>
      <c r="F13" s="84">
        <v>4</v>
      </c>
      <c r="G13" s="83" t="s">
        <v>560</v>
      </c>
      <c r="H13" s="84">
        <v>3</v>
      </c>
    </row>
    <row r="14" spans="1:12" ht="12.75" customHeight="1" x14ac:dyDescent="0.25">
      <c r="A14" s="83" t="s">
        <v>561</v>
      </c>
      <c r="B14" s="84">
        <v>3</v>
      </c>
      <c r="C14" s="83" t="s">
        <v>562</v>
      </c>
      <c r="D14" s="84">
        <v>3</v>
      </c>
      <c r="E14" s="91" t="s">
        <v>563</v>
      </c>
      <c r="F14" s="84">
        <v>5</v>
      </c>
      <c r="G14" s="83" t="s">
        <v>564</v>
      </c>
      <c r="H14" s="84">
        <v>3</v>
      </c>
    </row>
    <row r="15" spans="1:12" ht="12.75" customHeight="1" x14ac:dyDescent="0.25">
      <c r="A15" s="83" t="s">
        <v>565</v>
      </c>
      <c r="B15" s="84">
        <v>3</v>
      </c>
      <c r="C15" s="83" t="s">
        <v>566</v>
      </c>
      <c r="D15" s="84">
        <v>3</v>
      </c>
      <c r="E15" s="91" t="s">
        <v>567</v>
      </c>
      <c r="F15" s="84">
        <v>2</v>
      </c>
      <c r="G15" s="83" t="s">
        <v>568</v>
      </c>
      <c r="H15" s="84">
        <v>4</v>
      </c>
    </row>
    <row r="16" spans="1:12" ht="12.75" customHeight="1" x14ac:dyDescent="0.25">
      <c r="A16" s="83" t="s">
        <v>569</v>
      </c>
      <c r="B16" s="84">
        <v>3</v>
      </c>
      <c r="C16" s="83" t="s">
        <v>570</v>
      </c>
      <c r="D16" s="84">
        <v>4</v>
      </c>
      <c r="E16" s="83" t="s">
        <v>571</v>
      </c>
      <c r="F16" s="84">
        <v>3</v>
      </c>
      <c r="G16" s="83" t="s">
        <v>572</v>
      </c>
      <c r="H16" s="84">
        <v>5</v>
      </c>
    </row>
    <row r="17" spans="1:8" ht="12.75" customHeight="1" x14ac:dyDescent="0.25">
      <c r="A17" s="83" t="s">
        <v>573</v>
      </c>
      <c r="B17" s="84">
        <v>3</v>
      </c>
      <c r="C17" s="83" t="s">
        <v>574</v>
      </c>
      <c r="D17" s="84">
        <v>4</v>
      </c>
      <c r="E17" s="83" t="s">
        <v>575</v>
      </c>
      <c r="F17" s="84">
        <v>3</v>
      </c>
      <c r="G17" s="83" t="s">
        <v>576</v>
      </c>
      <c r="H17" s="84">
        <v>4</v>
      </c>
    </row>
    <row r="18" spans="1:8" ht="12.75" customHeight="1" x14ac:dyDescent="0.25">
      <c r="A18" s="83" t="s">
        <v>577</v>
      </c>
      <c r="B18" s="84">
        <v>3</v>
      </c>
      <c r="C18" s="83" t="s">
        <v>578</v>
      </c>
      <c r="D18" s="84">
        <v>4</v>
      </c>
      <c r="E18" s="83" t="s">
        <v>579</v>
      </c>
      <c r="F18" s="84">
        <v>3</v>
      </c>
      <c r="G18" s="83" t="s">
        <v>580</v>
      </c>
      <c r="H18" s="84">
        <v>3</v>
      </c>
    </row>
    <row r="19" spans="1:8" ht="12.75" customHeight="1" x14ac:dyDescent="0.25">
      <c r="A19" s="83" t="s">
        <v>581</v>
      </c>
      <c r="B19" s="84">
        <v>3</v>
      </c>
      <c r="C19" s="83" t="s">
        <v>582</v>
      </c>
      <c r="D19" s="84">
        <v>3</v>
      </c>
      <c r="E19" s="83" t="s">
        <v>583</v>
      </c>
      <c r="F19" s="84">
        <v>3</v>
      </c>
      <c r="G19" s="83" t="s">
        <v>584</v>
      </c>
      <c r="H19" s="84">
        <v>2</v>
      </c>
    </row>
    <row r="20" spans="1:8" ht="12.75" customHeight="1" x14ac:dyDescent="0.25">
      <c r="A20" s="83" t="s">
        <v>585</v>
      </c>
      <c r="B20" s="84">
        <v>3</v>
      </c>
      <c r="C20" s="83" t="s">
        <v>586</v>
      </c>
      <c r="D20" s="84">
        <v>4</v>
      </c>
      <c r="E20" s="83" t="s">
        <v>587</v>
      </c>
      <c r="F20" s="84">
        <v>3</v>
      </c>
      <c r="G20" s="83" t="s">
        <v>588</v>
      </c>
      <c r="H20" s="84">
        <v>4</v>
      </c>
    </row>
    <row r="21" spans="1:8" ht="12.75" customHeight="1" x14ac:dyDescent="0.25">
      <c r="A21" s="215" t="s">
        <v>589</v>
      </c>
      <c r="B21" s="215"/>
      <c r="C21" s="83" t="s">
        <v>590</v>
      </c>
      <c r="D21" s="84">
        <v>3</v>
      </c>
      <c r="E21" s="83" t="s">
        <v>591</v>
      </c>
      <c r="F21" s="84">
        <v>3</v>
      </c>
      <c r="G21" s="83" t="s">
        <v>592</v>
      </c>
      <c r="H21" s="84">
        <v>4</v>
      </c>
    </row>
    <row r="22" spans="1:8" ht="12.75" customHeight="1" x14ac:dyDescent="0.25">
      <c r="A22" s="83" t="s">
        <v>593</v>
      </c>
      <c r="B22" s="84">
        <v>4</v>
      </c>
      <c r="C22" s="83" t="s">
        <v>594</v>
      </c>
      <c r="D22" s="84">
        <v>3</v>
      </c>
      <c r="E22" s="83" t="s">
        <v>595</v>
      </c>
      <c r="F22" s="84">
        <v>5</v>
      </c>
      <c r="G22" s="83" t="s">
        <v>596</v>
      </c>
      <c r="H22" s="84">
        <v>4</v>
      </c>
    </row>
    <row r="23" spans="1:8" ht="12.75" customHeight="1" x14ac:dyDescent="0.25">
      <c r="A23" s="83" t="s">
        <v>597</v>
      </c>
      <c r="B23" s="84">
        <v>4</v>
      </c>
      <c r="C23" s="83" t="s">
        <v>598</v>
      </c>
      <c r="D23" s="84">
        <v>3</v>
      </c>
      <c r="E23" s="83" t="s">
        <v>599</v>
      </c>
      <c r="F23" s="84">
        <v>3</v>
      </c>
      <c r="G23" s="83" t="s">
        <v>600</v>
      </c>
      <c r="H23" s="84">
        <v>3</v>
      </c>
    </row>
    <row r="24" spans="1:8" ht="12.75" customHeight="1" x14ac:dyDescent="0.25">
      <c r="A24" s="83" t="s">
        <v>601</v>
      </c>
      <c r="B24" s="84">
        <v>4</v>
      </c>
      <c r="C24" s="83" t="s">
        <v>602</v>
      </c>
      <c r="D24" s="84">
        <v>3</v>
      </c>
      <c r="E24" s="83" t="s">
        <v>603</v>
      </c>
      <c r="F24" s="84">
        <v>3</v>
      </c>
      <c r="G24" s="83" t="s">
        <v>604</v>
      </c>
      <c r="H24" s="84">
        <v>4</v>
      </c>
    </row>
    <row r="25" spans="1:8" ht="12.75" customHeight="1" x14ac:dyDescent="0.25">
      <c r="A25" s="91" t="s">
        <v>605</v>
      </c>
      <c r="B25" s="84">
        <v>4</v>
      </c>
      <c r="C25" s="83" t="s">
        <v>606</v>
      </c>
      <c r="D25" s="84">
        <v>4</v>
      </c>
      <c r="E25" s="83" t="s">
        <v>607</v>
      </c>
      <c r="F25" s="84">
        <v>3</v>
      </c>
      <c r="G25" s="83" t="s">
        <v>608</v>
      </c>
      <c r="H25" s="84">
        <v>4</v>
      </c>
    </row>
    <row r="26" spans="1:8" ht="12.75" customHeight="1" x14ac:dyDescent="0.25">
      <c r="A26" s="83" t="s">
        <v>609</v>
      </c>
      <c r="B26" s="84">
        <v>3</v>
      </c>
      <c r="C26" s="83" t="s">
        <v>610</v>
      </c>
      <c r="D26" s="84">
        <v>4</v>
      </c>
      <c r="E26" s="83" t="s">
        <v>611</v>
      </c>
      <c r="F26" s="84">
        <v>3</v>
      </c>
      <c r="G26" s="83" t="s">
        <v>612</v>
      </c>
      <c r="H26" s="84">
        <v>5</v>
      </c>
    </row>
    <row r="27" spans="1:8" ht="12.75" customHeight="1" x14ac:dyDescent="0.25">
      <c r="A27" s="83" t="s">
        <v>613</v>
      </c>
      <c r="B27" s="84">
        <v>3</v>
      </c>
      <c r="C27" s="91" t="s">
        <v>614</v>
      </c>
      <c r="D27" s="84">
        <v>3</v>
      </c>
      <c r="E27" s="83" t="s">
        <v>615</v>
      </c>
      <c r="F27" s="84">
        <v>3</v>
      </c>
      <c r="G27" s="83" t="s">
        <v>616</v>
      </c>
      <c r="H27" s="84">
        <v>4</v>
      </c>
    </row>
    <row r="28" spans="1:8" ht="12.75" customHeight="1" x14ac:dyDescent="0.25">
      <c r="A28" s="83" t="s">
        <v>617</v>
      </c>
      <c r="B28" s="84">
        <v>2</v>
      </c>
      <c r="C28" s="91" t="s">
        <v>618</v>
      </c>
      <c r="D28" s="84">
        <v>4</v>
      </c>
      <c r="E28" s="83" t="s">
        <v>619</v>
      </c>
      <c r="F28" s="84">
        <v>3</v>
      </c>
      <c r="G28" s="83" t="s">
        <v>620</v>
      </c>
      <c r="H28" s="84">
        <v>3</v>
      </c>
    </row>
    <row r="29" spans="1:8" ht="12.75" customHeight="1" x14ac:dyDescent="0.25">
      <c r="A29" s="83" t="s">
        <v>621</v>
      </c>
      <c r="B29" s="84">
        <v>3</v>
      </c>
      <c r="C29" s="91" t="s">
        <v>622</v>
      </c>
      <c r="D29" s="84">
        <v>3</v>
      </c>
      <c r="E29" s="83" t="s">
        <v>623</v>
      </c>
      <c r="F29" s="84">
        <v>3</v>
      </c>
      <c r="G29" s="215" t="s">
        <v>624</v>
      </c>
      <c r="H29" s="215"/>
    </row>
    <row r="30" spans="1:8" ht="12.75" customHeight="1" x14ac:dyDescent="0.25">
      <c r="A30" s="83" t="s">
        <v>625</v>
      </c>
      <c r="B30" s="84">
        <v>4</v>
      </c>
      <c r="C30" s="91" t="s">
        <v>626</v>
      </c>
      <c r="D30" s="84">
        <v>4</v>
      </c>
      <c r="E30" s="83" t="s">
        <v>627</v>
      </c>
      <c r="F30" s="84">
        <v>4</v>
      </c>
      <c r="G30" s="83" t="s">
        <v>628</v>
      </c>
      <c r="H30" s="84">
        <v>4</v>
      </c>
    </row>
    <row r="31" spans="1:8" ht="12.75" customHeight="1" x14ac:dyDescent="0.25">
      <c r="A31" s="91" t="s">
        <v>629</v>
      </c>
      <c r="B31" s="84">
        <v>4</v>
      </c>
      <c r="C31" s="83" t="s">
        <v>630</v>
      </c>
      <c r="D31" s="84">
        <v>3</v>
      </c>
      <c r="E31" s="83" t="s">
        <v>631</v>
      </c>
      <c r="F31" s="84">
        <v>3</v>
      </c>
      <c r="G31" s="83" t="s">
        <v>632</v>
      </c>
      <c r="H31" s="84">
        <v>4</v>
      </c>
    </row>
    <row r="32" spans="1:8" ht="12.75" customHeight="1" x14ac:dyDescent="0.25">
      <c r="A32" s="91" t="s">
        <v>633</v>
      </c>
      <c r="B32" s="84">
        <v>4</v>
      </c>
      <c r="C32" s="83" t="s">
        <v>634</v>
      </c>
      <c r="D32" s="84">
        <v>4</v>
      </c>
      <c r="E32" s="83" t="s">
        <v>635</v>
      </c>
      <c r="F32" s="84">
        <v>3</v>
      </c>
      <c r="G32" s="83" t="s">
        <v>636</v>
      </c>
      <c r="H32" s="84">
        <v>4</v>
      </c>
    </row>
    <row r="33" spans="1:8" ht="12.75" customHeight="1" x14ac:dyDescent="0.25">
      <c r="A33" s="91" t="s">
        <v>637</v>
      </c>
      <c r="B33" s="84">
        <v>4</v>
      </c>
      <c r="C33" s="83" t="s">
        <v>638</v>
      </c>
      <c r="D33" s="84">
        <v>4</v>
      </c>
      <c r="E33" s="83" t="s">
        <v>639</v>
      </c>
      <c r="F33" s="84">
        <v>2</v>
      </c>
      <c r="G33" s="83" t="s">
        <v>640</v>
      </c>
      <c r="H33" s="84">
        <v>4</v>
      </c>
    </row>
    <row r="34" spans="1:8" ht="12.75" customHeight="1" x14ac:dyDescent="0.25">
      <c r="A34" s="83" t="s">
        <v>641</v>
      </c>
      <c r="B34" s="84">
        <v>3</v>
      </c>
      <c r="C34" s="83" t="s">
        <v>642</v>
      </c>
      <c r="D34" s="84">
        <v>4</v>
      </c>
      <c r="E34" s="83" t="s">
        <v>643</v>
      </c>
      <c r="F34" s="84">
        <v>3</v>
      </c>
      <c r="G34" s="83" t="s">
        <v>644</v>
      </c>
      <c r="H34" s="84">
        <v>4</v>
      </c>
    </row>
    <row r="35" spans="1:8" ht="12.75" customHeight="1" x14ac:dyDescent="0.25">
      <c r="A35" s="83" t="s">
        <v>645</v>
      </c>
      <c r="B35" s="84">
        <v>3</v>
      </c>
      <c r="C35" s="83" t="s">
        <v>646</v>
      </c>
      <c r="D35" s="84">
        <v>4</v>
      </c>
      <c r="E35" s="83" t="s">
        <v>647</v>
      </c>
      <c r="F35" s="84">
        <v>3</v>
      </c>
      <c r="G35" s="83" t="s">
        <v>648</v>
      </c>
      <c r="H35" s="84">
        <v>4</v>
      </c>
    </row>
    <row r="36" spans="1:8" ht="12.75" customHeight="1" x14ac:dyDescent="0.25">
      <c r="A36" s="83" t="s">
        <v>649</v>
      </c>
      <c r="B36" s="84">
        <v>5</v>
      </c>
      <c r="C36" s="83" t="s">
        <v>650</v>
      </c>
      <c r="D36" s="92">
        <v>2</v>
      </c>
      <c r="E36" s="83" t="s">
        <v>651</v>
      </c>
      <c r="F36" s="84">
        <v>4</v>
      </c>
      <c r="G36" s="83" t="s">
        <v>652</v>
      </c>
      <c r="H36" s="84">
        <v>4</v>
      </c>
    </row>
    <row r="37" spans="1:8" ht="12.75" customHeight="1" x14ac:dyDescent="0.25">
      <c r="A37" s="83" t="s">
        <v>653</v>
      </c>
      <c r="B37" s="84">
        <v>4</v>
      </c>
      <c r="C37" s="83" t="s">
        <v>654</v>
      </c>
      <c r="D37" s="92">
        <v>3</v>
      </c>
      <c r="E37" s="83" t="s">
        <v>655</v>
      </c>
      <c r="F37" s="84">
        <v>4</v>
      </c>
      <c r="G37" s="83" t="s">
        <v>656</v>
      </c>
      <c r="H37" s="84">
        <v>4</v>
      </c>
    </row>
    <row r="38" spans="1:8" ht="12.75" customHeight="1" x14ac:dyDescent="0.25">
      <c r="A38" s="83" t="s">
        <v>657</v>
      </c>
      <c r="B38" s="84">
        <v>3</v>
      </c>
      <c r="C38" s="83" t="s">
        <v>658</v>
      </c>
      <c r="D38" s="84">
        <v>4</v>
      </c>
      <c r="E38" s="83" t="s">
        <v>659</v>
      </c>
      <c r="F38" s="84">
        <v>3</v>
      </c>
      <c r="G38" s="83" t="s">
        <v>660</v>
      </c>
      <c r="H38" s="84">
        <v>4</v>
      </c>
    </row>
    <row r="39" spans="1:8" ht="12.75" customHeight="1" x14ac:dyDescent="0.25">
      <c r="A39" s="83" t="s">
        <v>661</v>
      </c>
      <c r="B39" s="84">
        <v>3</v>
      </c>
      <c r="C39" s="83" t="s">
        <v>662</v>
      </c>
      <c r="D39" s="84">
        <v>3</v>
      </c>
      <c r="E39" s="83" t="s">
        <v>663</v>
      </c>
      <c r="F39" s="84">
        <v>4</v>
      </c>
      <c r="G39" s="83" t="s">
        <v>664</v>
      </c>
      <c r="H39" s="84">
        <v>3</v>
      </c>
    </row>
    <row r="40" spans="1:8" ht="12.75" customHeight="1" x14ac:dyDescent="0.25">
      <c r="A40" s="83" t="s">
        <v>665</v>
      </c>
      <c r="B40" s="84">
        <v>4</v>
      </c>
      <c r="C40" s="83" t="s">
        <v>666</v>
      </c>
      <c r="D40" s="84">
        <v>4</v>
      </c>
      <c r="E40" s="83" t="s">
        <v>667</v>
      </c>
      <c r="F40" s="84">
        <v>4</v>
      </c>
      <c r="G40" s="91" t="s">
        <v>668</v>
      </c>
      <c r="H40" s="84">
        <v>4</v>
      </c>
    </row>
    <row r="41" spans="1:8" ht="12.75" customHeight="1" x14ac:dyDescent="0.25">
      <c r="A41" s="83" t="s">
        <v>669</v>
      </c>
      <c r="B41" s="84">
        <v>3</v>
      </c>
      <c r="C41" s="83" t="s">
        <v>670</v>
      </c>
      <c r="D41" s="84">
        <v>4</v>
      </c>
      <c r="E41" s="83" t="s">
        <v>671</v>
      </c>
      <c r="F41" s="84">
        <v>3</v>
      </c>
      <c r="G41" s="91" t="s">
        <v>672</v>
      </c>
      <c r="H41" s="84">
        <v>4</v>
      </c>
    </row>
    <row r="42" spans="1:8" ht="12.75" customHeight="1" x14ac:dyDescent="0.25">
      <c r="A42" s="83" t="s">
        <v>673</v>
      </c>
      <c r="B42" s="84">
        <v>3</v>
      </c>
      <c r="C42" s="83" t="s">
        <v>674</v>
      </c>
      <c r="D42" s="84">
        <v>4</v>
      </c>
      <c r="E42" s="83" t="s">
        <v>675</v>
      </c>
      <c r="F42" s="84">
        <v>4</v>
      </c>
      <c r="G42" s="83" t="s">
        <v>676</v>
      </c>
      <c r="H42" s="84">
        <v>4</v>
      </c>
    </row>
    <row r="43" spans="1:8" ht="12.75" customHeight="1" x14ac:dyDescent="0.25">
      <c r="G43" s="80"/>
      <c r="H43" s="80"/>
    </row>
    <row r="44" spans="1:8" ht="12.75" customHeight="1" x14ac:dyDescent="0.25">
      <c r="A44" s="214" t="s">
        <v>839</v>
      </c>
      <c r="B44" s="214"/>
      <c r="C44" s="214"/>
      <c r="D44" s="214"/>
      <c r="E44" s="214"/>
      <c r="F44" s="214"/>
      <c r="G44" s="214"/>
      <c r="H44" s="214"/>
    </row>
    <row r="45" spans="1:8" ht="12.75" customHeight="1" x14ac:dyDescent="0.25">
      <c r="A45" s="214" t="s">
        <v>677</v>
      </c>
      <c r="B45" s="214"/>
      <c r="C45" s="214"/>
      <c r="D45" s="214"/>
      <c r="E45" s="214"/>
      <c r="F45" s="214"/>
      <c r="G45" s="214"/>
      <c r="H45" s="214"/>
    </row>
    <row r="46" spans="1:8" ht="12.75" customHeight="1" x14ac:dyDescent="0.25">
      <c r="A46" s="214" t="s">
        <v>678</v>
      </c>
      <c r="B46" s="214"/>
      <c r="C46" s="214"/>
      <c r="D46" s="214"/>
      <c r="E46" s="214"/>
      <c r="F46" s="214"/>
      <c r="G46" s="214"/>
      <c r="H46" s="214"/>
    </row>
    <row r="47" spans="1:8" ht="12.75" customHeight="1" x14ac:dyDescent="0.25">
      <c r="A47" s="93"/>
      <c r="B47" s="93"/>
      <c r="C47" s="93"/>
      <c r="D47" s="93"/>
      <c r="E47" s="93"/>
      <c r="F47" s="93"/>
      <c r="G47" s="93"/>
      <c r="H47" s="93"/>
    </row>
    <row r="48" spans="1:8" ht="12.75" customHeight="1" x14ac:dyDescent="0.25">
      <c r="A48" s="214" t="s">
        <v>679</v>
      </c>
      <c r="B48" s="214"/>
      <c r="C48" s="214"/>
      <c r="D48" s="214"/>
      <c r="E48" s="214"/>
      <c r="F48" s="214"/>
      <c r="G48" s="214"/>
      <c r="H48" s="214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</sheetData>
  <mergeCells count="9">
    <mergeCell ref="A45:H45"/>
    <mergeCell ref="A46:H46"/>
    <mergeCell ref="A48:H48"/>
    <mergeCell ref="A1:H1"/>
    <mergeCell ref="A3:B3"/>
    <mergeCell ref="A10:B10"/>
    <mergeCell ref="A21:B21"/>
    <mergeCell ref="G29:H29"/>
    <mergeCell ref="A44:H44"/>
  </mergeCells>
  <printOptions horizontalCentered="1" verticalCentered="1"/>
  <pageMargins left="0.39370078740157483" right="0.39370078740157483" top="1.3779527559055118" bottom="0.19685039370078741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9"/>
  <sheetViews>
    <sheetView tabSelected="1" zoomScale="130" zoomScaleNormal="130" zoomScaleSheetLayoutView="100" workbookViewId="0">
      <selection sqref="A1:G1"/>
    </sheetView>
  </sheetViews>
  <sheetFormatPr defaultColWidth="9.109375" defaultRowHeight="13.2" x14ac:dyDescent="0.25"/>
  <cols>
    <col min="1" max="6" width="14.6640625" style="1" customWidth="1"/>
    <col min="7" max="7" width="14.6640625" style="88" customWidth="1"/>
    <col min="8" max="16384" width="9.109375" style="1"/>
  </cols>
  <sheetData>
    <row r="1" spans="1:7" ht="24.9" customHeight="1" x14ac:dyDescent="0.25">
      <c r="A1" s="174" t="s">
        <v>838</v>
      </c>
      <c r="B1" s="174"/>
      <c r="C1" s="174"/>
      <c r="D1" s="174"/>
      <c r="E1" s="174"/>
      <c r="F1" s="174"/>
      <c r="G1" s="174"/>
    </row>
    <row r="2" spans="1:7" ht="13.8" thickBot="1" x14ac:dyDescent="0.3">
      <c r="A2" s="87"/>
      <c r="B2" s="87"/>
      <c r="C2" s="87"/>
      <c r="D2" s="87"/>
      <c r="E2" s="87"/>
      <c r="F2" s="87"/>
      <c r="G2" s="94"/>
    </row>
    <row r="3" spans="1:7" x14ac:dyDescent="0.25">
      <c r="A3" s="226" t="s">
        <v>0</v>
      </c>
      <c r="B3" s="228" t="s">
        <v>31</v>
      </c>
      <c r="C3" s="228"/>
      <c r="D3" s="228"/>
      <c r="E3" s="228"/>
      <c r="F3" s="228"/>
      <c r="G3" s="229"/>
    </row>
    <row r="4" spans="1:7" ht="13.8" thickBot="1" x14ac:dyDescent="0.3">
      <c r="A4" s="227"/>
      <c r="B4" s="95" t="s">
        <v>130</v>
      </c>
      <c r="C4" s="95" t="s">
        <v>70</v>
      </c>
      <c r="D4" s="96" t="s">
        <v>71</v>
      </c>
      <c r="E4" s="95" t="s">
        <v>72</v>
      </c>
      <c r="F4" s="95" t="s">
        <v>253</v>
      </c>
      <c r="G4" s="97" t="s">
        <v>840</v>
      </c>
    </row>
    <row r="5" spans="1:7" ht="13.2" customHeight="1" x14ac:dyDescent="0.25">
      <c r="A5" s="225" t="s">
        <v>812</v>
      </c>
      <c r="B5" s="230"/>
      <c r="C5" s="230"/>
      <c r="D5" s="230"/>
      <c r="E5" s="230"/>
      <c r="F5" s="230"/>
      <c r="G5" s="230"/>
    </row>
    <row r="6" spans="1:7" ht="13.2" customHeight="1" x14ac:dyDescent="0.25">
      <c r="A6" s="225" t="s">
        <v>507</v>
      </c>
      <c r="B6" s="225"/>
      <c r="C6" s="225"/>
      <c r="D6" s="225"/>
      <c r="E6" s="225"/>
      <c r="F6" s="225"/>
      <c r="G6" s="225"/>
    </row>
    <row r="7" spans="1:7" x14ac:dyDescent="0.25">
      <c r="A7" s="98" t="s">
        <v>1</v>
      </c>
      <c r="B7" s="251">
        <f>3900</f>
        <v>3900</v>
      </c>
      <c r="C7" s="151">
        <f>6000</f>
        <v>6000</v>
      </c>
      <c r="D7" s="151">
        <f>6650</f>
        <v>6650</v>
      </c>
      <c r="E7" s="151">
        <f>11500</f>
        <v>11500</v>
      </c>
      <c r="F7" s="151">
        <f>15900</f>
        <v>15900</v>
      </c>
      <c r="G7" s="151">
        <f>20300</f>
        <v>20300</v>
      </c>
    </row>
    <row r="8" spans="1:7" x14ac:dyDescent="0.25">
      <c r="A8" s="99" t="s">
        <v>2</v>
      </c>
      <c r="B8" s="252">
        <f>5000</f>
        <v>5000</v>
      </c>
      <c r="C8" s="152">
        <f>6500</f>
        <v>6500</v>
      </c>
      <c r="D8" s="152">
        <f>8900</f>
        <v>8900</v>
      </c>
      <c r="E8" s="152">
        <f>13375</f>
        <v>13375</v>
      </c>
      <c r="F8" s="152">
        <f>18400</f>
        <v>18400</v>
      </c>
      <c r="G8" s="152">
        <f>23400</f>
        <v>23400</v>
      </c>
    </row>
    <row r="9" spans="1:7" x14ac:dyDescent="0.25">
      <c r="A9" s="100" t="s">
        <v>3</v>
      </c>
      <c r="B9" s="253">
        <f>5400</f>
        <v>5400</v>
      </c>
      <c r="C9" s="153">
        <f>7000</f>
        <v>7000</v>
      </c>
      <c r="D9" s="153">
        <f>9700</f>
        <v>9700</v>
      </c>
      <c r="E9" s="153">
        <f>14625</f>
        <v>14625</v>
      </c>
      <c r="F9" s="153">
        <f>20100</f>
        <v>20100</v>
      </c>
      <c r="G9" s="153">
        <f>25600</f>
        <v>25600</v>
      </c>
    </row>
    <row r="10" spans="1:7" x14ac:dyDescent="0.25">
      <c r="A10" s="99" t="s">
        <v>4</v>
      </c>
      <c r="B10" s="252">
        <f>5800</f>
        <v>5800</v>
      </c>
      <c r="C10" s="152">
        <f>7500</f>
        <v>7500</v>
      </c>
      <c r="D10" s="152">
        <f>10650</f>
        <v>10650</v>
      </c>
      <c r="E10" s="152">
        <f>15875</f>
        <v>15875</v>
      </c>
      <c r="F10" s="152">
        <f>21850</f>
        <v>21850</v>
      </c>
      <c r="G10" s="152">
        <f>27770</f>
        <v>27770</v>
      </c>
    </row>
    <row r="11" spans="1:7" x14ac:dyDescent="0.25">
      <c r="A11" s="221" t="s">
        <v>508</v>
      </c>
      <c r="B11" s="221"/>
      <c r="C11" s="221"/>
      <c r="D11" s="221"/>
      <c r="E11" s="221"/>
      <c r="F11" s="221"/>
      <c r="G11" s="221"/>
    </row>
    <row r="12" spans="1:7" ht="13.2" customHeight="1" x14ac:dyDescent="0.25">
      <c r="A12" s="225" t="s">
        <v>509</v>
      </c>
      <c r="B12" s="225"/>
      <c r="C12" s="225"/>
      <c r="D12" s="225"/>
      <c r="E12" s="225"/>
      <c r="F12" s="225"/>
      <c r="G12" s="225"/>
    </row>
    <row r="13" spans="1:7" x14ac:dyDescent="0.25">
      <c r="A13" s="98" t="s">
        <v>1</v>
      </c>
      <c r="B13" s="151">
        <f>4200</f>
        <v>4200</v>
      </c>
      <c r="C13" s="151">
        <f>6600</f>
        <v>6600</v>
      </c>
      <c r="D13" s="151">
        <f>9950</f>
        <v>9950</v>
      </c>
      <c r="E13" s="151">
        <f>11875</f>
        <v>11875</v>
      </c>
      <c r="F13" s="151">
        <f>19000</f>
        <v>19000</v>
      </c>
      <c r="G13" s="151">
        <f>26160</f>
        <v>26160</v>
      </c>
    </row>
    <row r="14" spans="1:7" x14ac:dyDescent="0.25">
      <c r="A14" s="99" t="s">
        <v>2</v>
      </c>
      <c r="B14" s="152">
        <f>5000</f>
        <v>5000</v>
      </c>
      <c r="C14" s="152">
        <f>7800</f>
        <v>7800</v>
      </c>
      <c r="D14" s="152">
        <f>11700</f>
        <v>11700</v>
      </c>
      <c r="E14" s="152">
        <f>13125</f>
        <v>13125</v>
      </c>
      <c r="F14" s="152">
        <f>21700</f>
        <v>21700</v>
      </c>
      <c r="G14" s="152">
        <f>30240</f>
        <v>30240</v>
      </c>
    </row>
    <row r="15" spans="1:7" x14ac:dyDescent="0.25">
      <c r="A15" s="100" t="s">
        <v>3</v>
      </c>
      <c r="B15" s="153">
        <f>5400</f>
        <v>5400</v>
      </c>
      <c r="C15" s="153">
        <f>8400</f>
        <v>8400</v>
      </c>
      <c r="D15" s="153">
        <f>12550</f>
        <v>12550</v>
      </c>
      <c r="E15" s="153">
        <f>15625</f>
        <v>15625</v>
      </c>
      <c r="F15" s="153">
        <f>24370</f>
        <v>24370</v>
      </c>
      <c r="G15" s="153">
        <f>33120</f>
        <v>33120</v>
      </c>
    </row>
    <row r="16" spans="1:7" x14ac:dyDescent="0.25">
      <c r="A16" s="99" t="s">
        <v>4</v>
      </c>
      <c r="B16" s="152">
        <f>5800</f>
        <v>5800</v>
      </c>
      <c r="C16" s="152">
        <f>8850</f>
        <v>8850</v>
      </c>
      <c r="D16" s="152">
        <f>13800</f>
        <v>13800</v>
      </c>
      <c r="E16" s="152">
        <f>18125</f>
        <v>18125</v>
      </c>
      <c r="F16" s="152">
        <f>27000</f>
        <v>27000</v>
      </c>
      <c r="G16" s="152">
        <f>35880</f>
        <v>35880</v>
      </c>
    </row>
    <row r="17" spans="1:7" x14ac:dyDescent="0.25">
      <c r="A17" s="100" t="s">
        <v>5</v>
      </c>
      <c r="B17" s="153">
        <f>6200</f>
        <v>6200</v>
      </c>
      <c r="C17" s="153">
        <f>11500</f>
        <v>11500</v>
      </c>
      <c r="D17" s="153">
        <f>15250</f>
        <v>15250</v>
      </c>
      <c r="E17" s="153">
        <f>20625</f>
        <v>20625</v>
      </c>
      <c r="F17" s="153">
        <f>29750</f>
        <v>29750</v>
      </c>
      <c r="G17" s="153">
        <f>38880</f>
        <v>38880</v>
      </c>
    </row>
    <row r="18" spans="1:7" x14ac:dyDescent="0.25">
      <c r="A18" s="99" t="s">
        <v>6</v>
      </c>
      <c r="B18" s="152">
        <f>6600</f>
        <v>6600</v>
      </c>
      <c r="C18" s="152">
        <f>12250</f>
        <v>12250</v>
      </c>
      <c r="D18" s="152">
        <f>16700</f>
        <v>16700</v>
      </c>
      <c r="E18" s="152">
        <f>23125</f>
        <v>23125</v>
      </c>
      <c r="F18" s="152">
        <f>32500</f>
        <v>32500</v>
      </c>
      <c r="G18" s="152">
        <f>41880</f>
        <v>41880</v>
      </c>
    </row>
    <row r="19" spans="1:7" x14ac:dyDescent="0.25">
      <c r="A19" s="100" t="s">
        <v>7</v>
      </c>
      <c r="B19" s="153">
        <f>7000</f>
        <v>7000</v>
      </c>
      <c r="C19" s="153">
        <f>13000</f>
        <v>13000</v>
      </c>
      <c r="D19" s="153">
        <f>18100</f>
        <v>18100</v>
      </c>
      <c r="E19" s="153">
        <f>25625</f>
        <v>25625</v>
      </c>
      <c r="F19" s="153">
        <f>35250</f>
        <v>35250</v>
      </c>
      <c r="G19" s="153">
        <f>44880</f>
        <v>44880</v>
      </c>
    </row>
    <row r="20" spans="1:7" x14ac:dyDescent="0.25">
      <c r="A20" s="99" t="s">
        <v>8</v>
      </c>
      <c r="B20" s="152">
        <f>7400</f>
        <v>7400</v>
      </c>
      <c r="C20" s="152">
        <f>13625</f>
        <v>13625</v>
      </c>
      <c r="D20" s="152">
        <f>19550</f>
        <v>19550</v>
      </c>
      <c r="E20" s="152">
        <f>28125</f>
        <v>28125</v>
      </c>
      <c r="F20" s="152">
        <f>38000</f>
        <v>38000</v>
      </c>
      <c r="G20" s="152">
        <f>47880</f>
        <v>47880</v>
      </c>
    </row>
    <row r="21" spans="1:7" x14ac:dyDescent="0.25">
      <c r="A21" s="100" t="s">
        <v>9</v>
      </c>
      <c r="B21" s="153">
        <f>7800</f>
        <v>7800</v>
      </c>
      <c r="C21" s="153">
        <f>14250</f>
        <v>14250</v>
      </c>
      <c r="D21" s="153">
        <f>21000</f>
        <v>21000</v>
      </c>
      <c r="E21" s="153">
        <f>30625</f>
        <v>30625</v>
      </c>
      <c r="F21" s="153">
        <f>40750</f>
        <v>40750</v>
      </c>
      <c r="G21" s="153">
        <f>50880</f>
        <v>50880</v>
      </c>
    </row>
    <row r="22" spans="1:7" x14ac:dyDescent="0.25">
      <c r="A22" s="99" t="s">
        <v>10</v>
      </c>
      <c r="B22" s="152">
        <f>8200</f>
        <v>8200</v>
      </c>
      <c r="C22" s="152">
        <f>15000</f>
        <v>15000</v>
      </c>
      <c r="D22" s="152">
        <f>22450</f>
        <v>22450</v>
      </c>
      <c r="E22" s="152">
        <f>33125</f>
        <v>33125</v>
      </c>
      <c r="F22" s="152">
        <f>43500</f>
        <v>43500</v>
      </c>
      <c r="G22" s="152">
        <f>53880</f>
        <v>53880</v>
      </c>
    </row>
    <row r="23" spans="1:7" x14ac:dyDescent="0.25">
      <c r="A23" s="101" t="s">
        <v>12</v>
      </c>
      <c r="B23" s="254">
        <f>1200</f>
        <v>1200</v>
      </c>
      <c r="C23" s="254">
        <f>2500</f>
        <v>2500</v>
      </c>
      <c r="D23" s="254">
        <f>3500</f>
        <v>3500</v>
      </c>
      <c r="E23" s="254">
        <f>4500</f>
        <v>4500</v>
      </c>
      <c r="F23" s="254">
        <f>5500</f>
        <v>5500</v>
      </c>
      <c r="G23" s="254">
        <f>6000</f>
        <v>6000</v>
      </c>
    </row>
    <row r="24" spans="1:7" ht="13.2" customHeight="1" x14ac:dyDescent="0.25">
      <c r="A24" s="219" t="s">
        <v>232</v>
      </c>
      <c r="B24" s="219"/>
      <c r="C24" s="219"/>
      <c r="D24" s="219"/>
      <c r="E24" s="219"/>
      <c r="F24" s="219"/>
      <c r="G24" s="219"/>
    </row>
    <row r="25" spans="1:7" ht="13.2" customHeight="1" x14ac:dyDescent="0.25">
      <c r="A25" s="220" t="s">
        <v>507</v>
      </c>
      <c r="B25" s="220"/>
      <c r="C25" s="220"/>
      <c r="D25" s="220"/>
      <c r="E25" s="220"/>
      <c r="F25" s="220"/>
      <c r="G25" s="220"/>
    </row>
    <row r="26" spans="1:7" x14ac:dyDescent="0.25">
      <c r="A26" s="100" t="s">
        <v>1</v>
      </c>
      <c r="B26" s="253">
        <f>3650</f>
        <v>3650</v>
      </c>
      <c r="C26" s="153">
        <f>5500</f>
        <v>5500</v>
      </c>
      <c r="D26" s="153">
        <f>6150</f>
        <v>6150</v>
      </c>
      <c r="E26" s="222" t="s">
        <v>817</v>
      </c>
      <c r="F26" s="222"/>
      <c r="G26" s="222"/>
    </row>
    <row r="27" spans="1:7" x14ac:dyDescent="0.25">
      <c r="A27" s="99" t="s">
        <v>2</v>
      </c>
      <c r="B27" s="252">
        <f>4600</f>
        <v>4600</v>
      </c>
      <c r="C27" s="152">
        <f>6000</f>
        <v>6000</v>
      </c>
      <c r="D27" s="152">
        <f>8200</f>
        <v>8200</v>
      </c>
      <c r="E27" s="223"/>
      <c r="F27" s="223"/>
      <c r="G27" s="223"/>
    </row>
    <row r="28" spans="1:7" x14ac:dyDescent="0.25">
      <c r="A28" s="100" t="s">
        <v>3</v>
      </c>
      <c r="B28" s="253">
        <f>4950</f>
        <v>4950</v>
      </c>
      <c r="C28" s="153">
        <f>6500</f>
        <v>6500</v>
      </c>
      <c r="D28" s="153">
        <f>8970</f>
        <v>8970</v>
      </c>
      <c r="E28" s="223"/>
      <c r="F28" s="223"/>
      <c r="G28" s="223"/>
    </row>
    <row r="29" spans="1:7" x14ac:dyDescent="0.25">
      <c r="A29" s="99" t="s">
        <v>4</v>
      </c>
      <c r="B29" s="252">
        <f>5350</f>
        <v>5350</v>
      </c>
      <c r="C29" s="152">
        <f>6900</f>
        <v>6900</v>
      </c>
      <c r="D29" s="152">
        <f>9850</f>
        <v>9850</v>
      </c>
      <c r="E29" s="223"/>
      <c r="F29" s="223"/>
      <c r="G29" s="223"/>
    </row>
    <row r="30" spans="1:7" x14ac:dyDescent="0.25">
      <c r="A30" s="221" t="s">
        <v>508</v>
      </c>
      <c r="B30" s="221"/>
      <c r="C30" s="221"/>
      <c r="D30" s="221"/>
      <c r="E30" s="221"/>
      <c r="F30" s="221"/>
      <c r="G30" s="221"/>
    </row>
    <row r="31" spans="1:7" ht="13.2" customHeight="1" x14ac:dyDescent="0.25">
      <c r="A31" s="218" t="s">
        <v>509</v>
      </c>
      <c r="B31" s="218"/>
      <c r="C31" s="218"/>
      <c r="D31" s="218"/>
      <c r="E31" s="218"/>
      <c r="F31" s="218"/>
      <c r="G31" s="218"/>
    </row>
    <row r="32" spans="1:7" x14ac:dyDescent="0.25">
      <c r="A32" s="100" t="s">
        <v>1</v>
      </c>
      <c r="B32" s="153">
        <f>3850</f>
        <v>3850</v>
      </c>
      <c r="C32" s="153">
        <f>6100</f>
        <v>6100</v>
      </c>
      <c r="D32" s="153">
        <f>9200</f>
        <v>9200</v>
      </c>
      <c r="E32" s="222" t="s">
        <v>817</v>
      </c>
      <c r="F32" s="222"/>
      <c r="G32" s="222"/>
    </row>
    <row r="33" spans="1:7" x14ac:dyDescent="0.25">
      <c r="A33" s="99" t="s">
        <v>2</v>
      </c>
      <c r="B33" s="152">
        <f>4600</f>
        <v>4600</v>
      </c>
      <c r="C33" s="152">
        <f>7200</f>
        <v>7200</v>
      </c>
      <c r="D33" s="152">
        <f>10800</f>
        <v>10800</v>
      </c>
      <c r="E33" s="223"/>
      <c r="F33" s="223"/>
      <c r="G33" s="223"/>
    </row>
    <row r="34" spans="1:7" x14ac:dyDescent="0.25">
      <c r="A34" s="100" t="s">
        <v>3</v>
      </c>
      <c r="B34" s="153">
        <f>4950</f>
        <v>4950</v>
      </c>
      <c r="C34" s="153">
        <f>7770</f>
        <v>7770</v>
      </c>
      <c r="D34" s="153">
        <f>11600</f>
        <v>11600</v>
      </c>
      <c r="E34" s="223"/>
      <c r="F34" s="223"/>
      <c r="G34" s="223"/>
    </row>
    <row r="35" spans="1:7" x14ac:dyDescent="0.25">
      <c r="A35" s="99" t="s">
        <v>4</v>
      </c>
      <c r="B35" s="152">
        <f>5350</f>
        <v>5350</v>
      </c>
      <c r="C35" s="152">
        <f>8200</f>
        <v>8200</v>
      </c>
      <c r="D35" s="152">
        <f>12765</f>
        <v>12765</v>
      </c>
      <c r="E35" s="223"/>
      <c r="F35" s="223"/>
      <c r="G35" s="223"/>
    </row>
    <row r="36" spans="1:7" x14ac:dyDescent="0.25">
      <c r="A36" s="100" t="s">
        <v>5</v>
      </c>
      <c r="B36" s="153">
        <f>5700</f>
        <v>5700</v>
      </c>
      <c r="C36" s="153">
        <f>10650</f>
        <v>10650</v>
      </c>
      <c r="D36" s="153">
        <f>14100</f>
        <v>14100</v>
      </c>
      <c r="E36" s="223"/>
      <c r="F36" s="223"/>
      <c r="G36" s="223"/>
    </row>
    <row r="37" spans="1:7" x14ac:dyDescent="0.25">
      <c r="A37" s="99" t="s">
        <v>6</v>
      </c>
      <c r="B37" s="152">
        <f>6100</f>
        <v>6100</v>
      </c>
      <c r="C37" s="152">
        <f>11300</f>
        <v>11300</v>
      </c>
      <c r="D37" s="152">
        <f>15450</f>
        <v>15450</v>
      </c>
      <c r="E37" s="223"/>
      <c r="F37" s="223"/>
      <c r="G37" s="223"/>
    </row>
    <row r="38" spans="1:7" x14ac:dyDescent="0.25">
      <c r="A38" s="100" t="s">
        <v>7</v>
      </c>
      <c r="B38" s="153">
        <f>6450</f>
        <v>6450</v>
      </c>
      <c r="C38" s="153">
        <f>12000</f>
        <v>12000</v>
      </c>
      <c r="D38" s="153">
        <f>16740</f>
        <v>16740</v>
      </c>
      <c r="E38" s="223"/>
      <c r="F38" s="223"/>
      <c r="G38" s="223"/>
    </row>
    <row r="39" spans="1:7" x14ac:dyDescent="0.25">
      <c r="A39" s="99" t="s">
        <v>8</v>
      </c>
      <c r="B39" s="152">
        <f>6850</f>
        <v>6850</v>
      </c>
      <c r="C39" s="152">
        <f>12600</f>
        <v>12600</v>
      </c>
      <c r="D39" s="152">
        <f>18085</f>
        <v>18085</v>
      </c>
      <c r="E39" s="223"/>
      <c r="F39" s="223"/>
      <c r="G39" s="223"/>
    </row>
    <row r="40" spans="1:7" x14ac:dyDescent="0.25">
      <c r="A40" s="100" t="s">
        <v>9</v>
      </c>
      <c r="B40" s="153">
        <f>7200</f>
        <v>7200</v>
      </c>
      <c r="C40" s="153">
        <f>13180</f>
        <v>13180</v>
      </c>
      <c r="D40" s="153">
        <f>19425</f>
        <v>19425</v>
      </c>
      <c r="E40" s="223"/>
      <c r="F40" s="223"/>
      <c r="G40" s="223"/>
    </row>
    <row r="41" spans="1:7" x14ac:dyDescent="0.25">
      <c r="A41" s="99" t="s">
        <v>10</v>
      </c>
      <c r="B41" s="152">
        <f>7600</f>
        <v>7600</v>
      </c>
      <c r="C41" s="152">
        <f>13875</f>
        <v>13875</v>
      </c>
      <c r="D41" s="152">
        <f>20750</f>
        <v>20750</v>
      </c>
      <c r="E41" s="223"/>
      <c r="F41" s="223"/>
      <c r="G41" s="223"/>
    </row>
    <row r="42" spans="1:7" x14ac:dyDescent="0.25">
      <c r="A42" s="101" t="s">
        <v>12</v>
      </c>
      <c r="B42" s="254">
        <f>1100</f>
        <v>1100</v>
      </c>
      <c r="C42" s="254">
        <f>2250</f>
        <v>2250</v>
      </c>
      <c r="D42" s="254">
        <f>3250</f>
        <v>3250</v>
      </c>
      <c r="E42" s="224"/>
      <c r="F42" s="224"/>
      <c r="G42" s="224"/>
    </row>
    <row r="43" spans="1:7" ht="13.2" customHeight="1" x14ac:dyDescent="0.25">
      <c r="A43" s="219" t="s">
        <v>813</v>
      </c>
      <c r="B43" s="219"/>
      <c r="C43" s="219"/>
      <c r="D43" s="219"/>
      <c r="E43" s="219"/>
      <c r="F43" s="219"/>
      <c r="G43" s="219"/>
    </row>
    <row r="44" spans="1:7" ht="13.2" customHeight="1" x14ac:dyDescent="0.25">
      <c r="A44" s="220" t="s">
        <v>507</v>
      </c>
      <c r="B44" s="220"/>
      <c r="C44" s="220"/>
      <c r="D44" s="220"/>
      <c r="E44" s="220"/>
      <c r="F44" s="220"/>
      <c r="G44" s="220"/>
    </row>
    <row r="45" spans="1:7" x14ac:dyDescent="0.25">
      <c r="A45" s="100" t="s">
        <v>1</v>
      </c>
      <c r="B45" s="253">
        <f>3400</f>
        <v>3400</v>
      </c>
      <c r="C45" s="153">
        <f>5000</f>
        <v>5000</v>
      </c>
      <c r="D45" s="153">
        <f>5650</f>
        <v>5650</v>
      </c>
      <c r="E45" s="222" t="s">
        <v>817</v>
      </c>
      <c r="F45" s="222"/>
      <c r="G45" s="222"/>
    </row>
    <row r="46" spans="1:7" x14ac:dyDescent="0.25">
      <c r="A46" s="99" t="s">
        <v>2</v>
      </c>
      <c r="B46" s="252">
        <f>4200</f>
        <v>4200</v>
      </c>
      <c r="C46" s="152">
        <f>5500</f>
        <v>5500</v>
      </c>
      <c r="D46" s="152">
        <f>7500</f>
        <v>7500</v>
      </c>
      <c r="E46" s="223"/>
      <c r="F46" s="223"/>
      <c r="G46" s="223"/>
    </row>
    <row r="47" spans="1:7" x14ac:dyDescent="0.25">
      <c r="A47" s="100" t="s">
        <v>3</v>
      </c>
      <c r="B47" s="253">
        <f>4500</f>
        <v>4500</v>
      </c>
      <c r="C47" s="153">
        <f>6000</f>
        <v>6000</v>
      </c>
      <c r="D47" s="153">
        <f>8240</f>
        <v>8240</v>
      </c>
      <c r="E47" s="223"/>
      <c r="F47" s="223"/>
      <c r="G47" s="223"/>
    </row>
    <row r="48" spans="1:7" x14ac:dyDescent="0.25">
      <c r="A48" s="99" t="s">
        <v>4</v>
      </c>
      <c r="B48" s="252">
        <f>4900</f>
        <v>4900</v>
      </c>
      <c r="C48" s="152">
        <f>6300</f>
        <v>6300</v>
      </c>
      <c r="D48" s="152">
        <f>9050</f>
        <v>9050</v>
      </c>
      <c r="E48" s="223"/>
      <c r="F48" s="223"/>
      <c r="G48" s="223"/>
    </row>
    <row r="49" spans="1:7" x14ac:dyDescent="0.25">
      <c r="A49" s="221" t="s">
        <v>508</v>
      </c>
      <c r="B49" s="221"/>
      <c r="C49" s="221"/>
      <c r="D49" s="221"/>
      <c r="E49" s="221"/>
      <c r="F49" s="221"/>
      <c r="G49" s="221"/>
    </row>
    <row r="50" spans="1:7" ht="13.2" customHeight="1" x14ac:dyDescent="0.25">
      <c r="A50" s="218" t="s">
        <v>509</v>
      </c>
      <c r="B50" s="218"/>
      <c r="C50" s="218"/>
      <c r="D50" s="218"/>
      <c r="E50" s="218"/>
      <c r="F50" s="218"/>
      <c r="G50" s="218"/>
    </row>
    <row r="51" spans="1:7" x14ac:dyDescent="0.25">
      <c r="A51" s="100" t="s">
        <v>1</v>
      </c>
      <c r="B51" s="153">
        <f>3500</f>
        <v>3500</v>
      </c>
      <c r="C51" s="153">
        <f>5600</f>
        <v>5600</v>
      </c>
      <c r="D51" s="153">
        <f>8450</f>
        <v>8450</v>
      </c>
      <c r="E51" s="222" t="s">
        <v>817</v>
      </c>
      <c r="F51" s="222"/>
      <c r="G51" s="222"/>
    </row>
    <row r="52" spans="1:7" x14ac:dyDescent="0.25">
      <c r="A52" s="99" t="s">
        <v>2</v>
      </c>
      <c r="B52" s="152">
        <f>4200</f>
        <v>4200</v>
      </c>
      <c r="C52" s="152">
        <f>6600</f>
        <v>6600</v>
      </c>
      <c r="D52" s="152">
        <f>9900</f>
        <v>9900</v>
      </c>
      <c r="E52" s="223"/>
      <c r="F52" s="223"/>
      <c r="G52" s="223"/>
    </row>
    <row r="53" spans="1:7" x14ac:dyDescent="0.25">
      <c r="A53" s="100" t="s">
        <v>3</v>
      </c>
      <c r="B53" s="153">
        <f>4500</f>
        <v>4500</v>
      </c>
      <c r="C53" s="153">
        <f>7140</f>
        <v>7140</v>
      </c>
      <c r="D53" s="153">
        <f>10650</f>
        <v>10650</v>
      </c>
      <c r="E53" s="223"/>
      <c r="F53" s="223"/>
      <c r="G53" s="223"/>
    </row>
    <row r="54" spans="1:7" x14ac:dyDescent="0.25">
      <c r="A54" s="99" t="s">
        <v>4</v>
      </c>
      <c r="B54" s="152">
        <f>4900</f>
        <v>4900</v>
      </c>
      <c r="C54" s="152">
        <f>7550</f>
        <v>7550</v>
      </c>
      <c r="D54" s="152">
        <f>11730</f>
        <v>11730</v>
      </c>
      <c r="E54" s="223"/>
      <c r="F54" s="223"/>
      <c r="G54" s="223"/>
    </row>
    <row r="55" spans="1:7" x14ac:dyDescent="0.25">
      <c r="A55" s="100" t="s">
        <v>5</v>
      </c>
      <c r="B55" s="153">
        <f>5200</f>
        <v>5200</v>
      </c>
      <c r="C55" s="153">
        <f>9800</f>
        <v>9800</v>
      </c>
      <c r="D55" s="153">
        <f>12950</f>
        <v>12950</v>
      </c>
      <c r="E55" s="223"/>
      <c r="F55" s="223"/>
      <c r="G55" s="223"/>
    </row>
    <row r="56" spans="1:7" x14ac:dyDescent="0.25">
      <c r="A56" s="99" t="s">
        <v>6</v>
      </c>
      <c r="B56" s="152">
        <f>5600</f>
        <v>5600</v>
      </c>
      <c r="C56" s="152">
        <f>10350</f>
        <v>10350</v>
      </c>
      <c r="D56" s="152">
        <f>14200</f>
        <v>14200</v>
      </c>
      <c r="E56" s="223"/>
      <c r="F56" s="223"/>
      <c r="G56" s="223"/>
    </row>
    <row r="57" spans="1:7" x14ac:dyDescent="0.25">
      <c r="A57" s="100" t="s">
        <v>7</v>
      </c>
      <c r="B57" s="153">
        <f>5900</f>
        <v>5900</v>
      </c>
      <c r="C57" s="153">
        <f>11000</f>
        <v>11000</v>
      </c>
      <c r="D57" s="153">
        <f>15380</f>
        <v>15380</v>
      </c>
      <c r="E57" s="223"/>
      <c r="F57" s="223"/>
      <c r="G57" s="223"/>
    </row>
    <row r="58" spans="1:7" x14ac:dyDescent="0.25">
      <c r="A58" s="99" t="s">
        <v>8</v>
      </c>
      <c r="B58" s="152">
        <f>6300</f>
        <v>6300</v>
      </c>
      <c r="C58" s="152">
        <f>11575</f>
        <v>11575</v>
      </c>
      <c r="D58" s="152">
        <f>16620</f>
        <v>16620</v>
      </c>
      <c r="E58" s="223"/>
      <c r="F58" s="223"/>
      <c r="G58" s="223"/>
    </row>
    <row r="59" spans="1:7" x14ac:dyDescent="0.25">
      <c r="A59" s="100" t="s">
        <v>9</v>
      </c>
      <c r="B59" s="153">
        <f>6600</f>
        <v>6600</v>
      </c>
      <c r="C59" s="153">
        <f>12100</f>
        <v>12100</v>
      </c>
      <c r="D59" s="153">
        <f>17850</f>
        <v>17850</v>
      </c>
      <c r="E59" s="223"/>
      <c r="F59" s="223"/>
      <c r="G59" s="223"/>
    </row>
    <row r="60" spans="1:7" x14ac:dyDescent="0.25">
      <c r="A60" s="99" t="s">
        <v>10</v>
      </c>
      <c r="B60" s="152">
        <f>7000</f>
        <v>7000</v>
      </c>
      <c r="C60" s="152">
        <f>12750</f>
        <v>12750</v>
      </c>
      <c r="D60" s="152">
        <f>19050</f>
        <v>19050</v>
      </c>
      <c r="E60" s="223"/>
      <c r="F60" s="223"/>
      <c r="G60" s="223"/>
    </row>
    <row r="61" spans="1:7" x14ac:dyDescent="0.25">
      <c r="A61" s="101" t="s">
        <v>12</v>
      </c>
      <c r="B61" s="254">
        <f>1000</f>
        <v>1000</v>
      </c>
      <c r="C61" s="254">
        <f>2000</f>
        <v>2000</v>
      </c>
      <c r="D61" s="254">
        <f>3000</f>
        <v>3000</v>
      </c>
      <c r="E61" s="224"/>
      <c r="F61" s="224"/>
      <c r="G61" s="224"/>
    </row>
    <row r="62" spans="1:7" ht="25.2" customHeight="1" x14ac:dyDescent="0.25">
      <c r="A62" s="216" t="s">
        <v>814</v>
      </c>
      <c r="B62" s="216"/>
      <c r="C62" s="216"/>
      <c r="D62" s="216"/>
      <c r="E62" s="216"/>
      <c r="F62" s="216"/>
      <c r="G62" s="216"/>
    </row>
    <row r="63" spans="1:7" ht="40.200000000000003" customHeight="1" x14ac:dyDescent="0.25">
      <c r="A63" s="216" t="s">
        <v>818</v>
      </c>
      <c r="B63" s="216"/>
      <c r="C63" s="216"/>
      <c r="D63" s="216"/>
      <c r="E63" s="216"/>
      <c r="F63" s="216"/>
      <c r="G63" s="216"/>
    </row>
    <row r="64" spans="1:7" ht="12.75" customHeight="1" x14ac:dyDescent="0.25">
      <c r="A64" s="216" t="s">
        <v>680</v>
      </c>
      <c r="B64" s="216"/>
      <c r="C64" s="216"/>
      <c r="D64" s="216"/>
      <c r="E64" s="216"/>
      <c r="F64" s="216"/>
      <c r="G64" s="216"/>
    </row>
    <row r="65" spans="1:7" ht="25.2" customHeight="1" x14ac:dyDescent="0.25">
      <c r="A65" s="216" t="s">
        <v>224</v>
      </c>
      <c r="B65" s="216"/>
      <c r="C65" s="216"/>
      <c r="D65" s="216"/>
      <c r="E65" s="216"/>
      <c r="F65" s="216"/>
      <c r="G65" s="216"/>
    </row>
    <row r="66" spans="1:7" ht="25.2" customHeight="1" x14ac:dyDescent="0.25">
      <c r="A66" s="216" t="s">
        <v>681</v>
      </c>
      <c r="B66" s="216"/>
      <c r="C66" s="216"/>
      <c r="D66" s="216"/>
      <c r="E66" s="216"/>
      <c r="F66" s="216"/>
      <c r="G66" s="216"/>
    </row>
    <row r="67" spans="1:7" ht="45" customHeight="1" x14ac:dyDescent="0.25">
      <c r="A67" s="216" t="s">
        <v>682</v>
      </c>
      <c r="B67" s="216"/>
      <c r="C67" s="216"/>
      <c r="D67" s="216"/>
      <c r="E67" s="216"/>
      <c r="F67" s="216"/>
      <c r="G67" s="216"/>
    </row>
    <row r="68" spans="1:7" ht="26.25" customHeight="1" x14ac:dyDescent="0.25">
      <c r="A68" s="217" t="s">
        <v>246</v>
      </c>
      <c r="B68" s="217"/>
      <c r="C68" s="217"/>
      <c r="D68" s="217"/>
      <c r="E68" s="217"/>
      <c r="F68" s="217"/>
      <c r="G68" s="217"/>
    </row>
    <row r="69" spans="1:7" ht="12.75" customHeight="1" x14ac:dyDescent="0.25">
      <c r="A69" s="216" t="s">
        <v>512</v>
      </c>
      <c r="B69" s="216"/>
      <c r="C69" s="216"/>
      <c r="D69" s="216"/>
      <c r="E69" s="216"/>
      <c r="F69" s="216"/>
      <c r="G69" s="216"/>
    </row>
  </sheetData>
  <mergeCells count="27">
    <mergeCell ref="A11:G11"/>
    <mergeCell ref="A1:G1"/>
    <mergeCell ref="A3:A4"/>
    <mergeCell ref="B3:G3"/>
    <mergeCell ref="A5:G5"/>
    <mergeCell ref="A6:G6"/>
    <mergeCell ref="A12:G12"/>
    <mergeCell ref="A30:G30"/>
    <mergeCell ref="A24:G24"/>
    <mergeCell ref="A25:G25"/>
    <mergeCell ref="E26:G29"/>
    <mergeCell ref="A31:G31"/>
    <mergeCell ref="A62:G62"/>
    <mergeCell ref="A63:G63"/>
    <mergeCell ref="A64:G64"/>
    <mergeCell ref="A43:G43"/>
    <mergeCell ref="A44:G44"/>
    <mergeCell ref="A49:G49"/>
    <mergeCell ref="A50:G50"/>
    <mergeCell ref="E32:G42"/>
    <mergeCell ref="E45:G48"/>
    <mergeCell ref="E51:G61"/>
    <mergeCell ref="A65:G65"/>
    <mergeCell ref="A66:G66"/>
    <mergeCell ref="A67:G67"/>
    <mergeCell ref="A68:G68"/>
    <mergeCell ref="A69:G69"/>
  </mergeCells>
  <printOptions horizontalCentered="1" verticalCentered="1"/>
  <pageMargins left="0.39370078740157483" right="0.39370078740157483" top="0.98425196850393704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13</vt:i4>
      </vt:variant>
    </vt:vector>
  </HeadingPairs>
  <TitlesOfParts>
    <vt:vector size="29" baseType="lpstr">
      <vt:lpstr>Зоны РК (Экспресс)</vt:lpstr>
      <vt:lpstr>Зоны РК Экспресс ОЦ</vt:lpstr>
      <vt:lpstr>Экспресс</vt:lpstr>
      <vt:lpstr>Блиц</vt:lpstr>
      <vt:lpstr>Зоны РК Эконом (полные)</vt:lpstr>
      <vt:lpstr>Эконом</vt:lpstr>
      <vt:lpstr>Импорт из РФ Эконом</vt:lpstr>
      <vt:lpstr>Зоны РФ и СА</vt:lpstr>
      <vt:lpstr>Тарифы РФ и СА</vt:lpstr>
      <vt:lpstr>Тарифы РФ и СА (не-обл)</vt:lpstr>
      <vt:lpstr>Зоны WW</vt:lpstr>
      <vt:lpstr>Тарифы WW</vt:lpstr>
      <vt:lpstr>Тарифы WW (не-обл)</vt:lpstr>
      <vt:lpstr>Город</vt:lpstr>
      <vt:lpstr>Городские зоны</vt:lpstr>
      <vt:lpstr>Доп.услуги</vt:lpstr>
      <vt:lpstr>Блиц!Область_печати</vt:lpstr>
      <vt:lpstr>Город!Область_печати</vt:lpstr>
      <vt:lpstr>'Городские зоны'!Область_печати</vt:lpstr>
      <vt:lpstr>'Зоны WW'!Область_печати</vt:lpstr>
      <vt:lpstr>'Зоны РК (Экспресс)'!Область_печати</vt:lpstr>
      <vt:lpstr>'Зоны РФ и СА'!Область_печати</vt:lpstr>
      <vt:lpstr>'Импорт из РФ Эконом'!Область_печати</vt:lpstr>
      <vt:lpstr>'Тарифы WW'!Область_печати</vt:lpstr>
      <vt:lpstr>'Тарифы WW (не-обл)'!Область_печати</vt:lpstr>
      <vt:lpstr>'Тарифы РФ и СА'!Область_печати</vt:lpstr>
      <vt:lpstr>'Тарифы РФ и СА (не-обл)'!Область_печати</vt:lpstr>
      <vt:lpstr>Эконом!Область_печати</vt:lpstr>
      <vt:lpstr>Экспресс!Область_печати</vt:lpstr>
    </vt:vector>
  </TitlesOfParts>
  <Company>BBB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Виктор Ковалев</cp:lastModifiedBy>
  <cp:lastPrinted>2023-01-20T06:05:24Z</cp:lastPrinted>
  <dcterms:created xsi:type="dcterms:W3CDTF">2003-06-16T09:58:26Z</dcterms:created>
  <dcterms:modified xsi:type="dcterms:W3CDTF">2025-09-26T12:15:12Z</dcterms:modified>
</cp:coreProperties>
</file>